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360" yWindow="135" windowWidth="11340" windowHeight="6540" firstSheet="1" activeTab="1"/>
  </bookViews>
  <sheets>
    <sheet name="Нагрузки" sheetId="1" r:id="rId1"/>
    <sheet name="Строп.1" sheetId="2" r:id="rId2"/>
    <sheet name="Строп.2" sheetId="3" r:id="rId3"/>
    <sheet name="Арка" sheetId="4" r:id="rId4"/>
    <sheet name="Стойка" sheetId="5" r:id="rId5"/>
    <sheet name="Балка" sheetId="6" r:id="rId6"/>
    <sheet name="Гибкотсь" sheetId="7" r:id="rId7"/>
    <sheet name="Смятие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definedNames>
    <definedName name="solver_adj" localSheetId="3" hidden="1">'Арка'!$C$2</definedName>
    <definedName name="solver_adj" localSheetId="0" hidden="1">'Нагрузки'!$I$16</definedName>
    <definedName name="solver_cvg" localSheetId="3" hidden="1">0.001</definedName>
    <definedName name="solver_cvg" localSheetId="0" hidden="1">0.001</definedName>
    <definedName name="solver_drv" localSheetId="3" hidden="1">1</definedName>
    <definedName name="solver_drv" localSheetId="0" hidden="1">1</definedName>
    <definedName name="solver_est" localSheetId="3" hidden="1">1</definedName>
    <definedName name="solver_est" localSheetId="0" hidden="1">1</definedName>
    <definedName name="solver_itr" localSheetId="3" hidden="1">100</definedName>
    <definedName name="solver_itr" localSheetId="0" hidden="1">100</definedName>
    <definedName name="solver_lin" localSheetId="3" hidden="1">2</definedName>
    <definedName name="solver_lin" localSheetId="0" hidden="1">2</definedName>
    <definedName name="solver_neg" localSheetId="3" hidden="1">2</definedName>
    <definedName name="solver_neg" localSheetId="0" hidden="1">2</definedName>
    <definedName name="solver_num" localSheetId="3" hidden="1">0</definedName>
    <definedName name="solver_num" localSheetId="0" hidden="1">0</definedName>
    <definedName name="solver_nwt" localSheetId="3" hidden="1">1</definedName>
    <definedName name="solver_nwt" localSheetId="0" hidden="1">1</definedName>
    <definedName name="solver_opt" localSheetId="3" hidden="1">'Арка'!$F$8</definedName>
    <definedName name="solver_opt" localSheetId="0" hidden="1">'Нагрузки'!$H$19</definedName>
    <definedName name="solver_pre" localSheetId="3" hidden="1">0.000001</definedName>
    <definedName name="solver_pre" localSheetId="0" hidden="1">0.000001</definedName>
    <definedName name="solver_scl" localSheetId="3" hidden="1">2</definedName>
    <definedName name="solver_scl" localSheetId="0" hidden="1">2</definedName>
    <definedName name="solver_sho" localSheetId="3" hidden="1">2</definedName>
    <definedName name="solver_sho" localSheetId="0" hidden="1">2</definedName>
    <definedName name="solver_tim" localSheetId="3" hidden="1">100</definedName>
    <definedName name="solver_tim" localSheetId="0" hidden="1">100</definedName>
    <definedName name="solver_tol" localSheetId="3" hidden="1">0.05</definedName>
    <definedName name="solver_tol" localSheetId="0" hidden="1">0.05</definedName>
    <definedName name="solver_typ" localSheetId="3" hidden="1">3</definedName>
    <definedName name="solver_typ" localSheetId="0" hidden="1">3</definedName>
    <definedName name="solver_val" localSheetId="3" hidden="1">1.95</definedName>
    <definedName name="solver_val" localSheetId="0" hidden="1">3.7</definedName>
  </definedNames>
  <calcPr fullCalcOnLoad="1" fullPrecision="0"/>
</workbook>
</file>

<file path=xl/comments1.xml><?xml version="1.0" encoding="utf-8"?>
<comments xmlns="http://schemas.openxmlformats.org/spreadsheetml/2006/main">
  <authors>
    <author>11</author>
    <author>Милющенко Владимир</author>
  </authors>
  <commentList>
    <comment ref="C8" authorId="0">
      <text>
        <r>
          <rPr>
            <b/>
            <sz val="8"/>
            <rFont val="Tahoma"/>
            <family val="0"/>
          </rPr>
          <t>11:</t>
        </r>
        <r>
          <rPr>
            <sz val="8"/>
            <rFont val="Tahoma"/>
            <family val="0"/>
          </rPr>
          <t xml:space="preserve">
При сплошном настиле с контробрешеткой добавить 25 кг/м2</t>
        </r>
      </text>
    </comment>
    <comment ref="C28" authorId="1">
      <text>
        <r>
          <rPr>
            <b/>
            <sz val="8"/>
            <rFont val="Tahoma"/>
            <family val="0"/>
          </rPr>
          <t>формула 3.3 Шишкин 
стр.37
М=0.07*gL^2+0.207*P*L
c учетом Р=120кг</t>
        </r>
      </text>
    </comment>
  </commentList>
</comments>
</file>

<file path=xl/comments2.xml><?xml version="1.0" encoding="utf-8"?>
<comments xmlns="http://schemas.openxmlformats.org/spreadsheetml/2006/main">
  <authors>
    <author>11</author>
  </authors>
  <commentList>
    <comment ref="C9" authorId="0">
      <text>
        <r>
          <rPr>
            <b/>
            <sz val="8"/>
            <rFont val="Tahoma"/>
            <family val="0"/>
          </rPr>
          <t>11:</t>
        </r>
        <r>
          <rPr>
            <sz val="8"/>
            <rFont val="Tahoma"/>
            <family val="0"/>
          </rPr>
          <t xml:space="preserve">
Учесть шаг обрешетки (закрепление сжатого пояса)</t>
        </r>
      </text>
    </comment>
  </commentList>
</comments>
</file>

<file path=xl/comments3.xml><?xml version="1.0" encoding="utf-8"?>
<comments xmlns="http://schemas.openxmlformats.org/spreadsheetml/2006/main">
  <authors>
    <author>Милющенко Владимир</author>
  </authors>
  <commentList>
    <comment ref="E15" authorId="0">
      <text>
        <r>
          <rPr>
            <b/>
            <sz val="8"/>
            <rFont val="Tahoma"/>
            <family val="0"/>
          </rPr>
          <t>0.5*q*L1-Моп/L1</t>
        </r>
      </text>
    </comment>
    <comment ref="H10" authorId="0">
      <text>
        <r>
          <rPr>
            <b/>
            <sz val="8"/>
            <rFont val="Tahoma"/>
            <family val="0"/>
          </rPr>
          <t>R=0.5*q*L+Моп/L1+Моп/L2
Qлев=0.5*q*L1+Моп/L1
Qправ=0.5*q*L2+Моп/L2</t>
        </r>
      </text>
    </comment>
    <comment ref="I8" authorId="0">
      <text>
        <r>
          <rPr>
            <b/>
            <sz val="8"/>
            <rFont val="Tahoma"/>
            <family val="0"/>
          </rPr>
          <t>Q=0.5*q*L2-Моп/L2</t>
        </r>
      </text>
    </comment>
    <comment ref="F9" authorId="0">
      <text>
        <r>
          <rPr>
            <b/>
            <sz val="8"/>
            <rFont val="Tahoma"/>
            <family val="0"/>
          </rPr>
          <t>Моп=(q*(L1^3+L2^3))/(8*(L1+L2))</t>
        </r>
      </text>
    </comment>
  </commentList>
</comments>
</file>

<file path=xl/comments6.xml><?xml version="1.0" encoding="utf-8"?>
<comments xmlns="http://schemas.openxmlformats.org/spreadsheetml/2006/main">
  <authors>
    <author>Милющенко Владимир</author>
  </authors>
  <commentList>
    <comment ref="C19" authorId="0">
      <text>
        <r>
          <rPr>
            <sz val="8"/>
            <rFont val="Tahoma"/>
            <family val="2"/>
          </rPr>
          <t>не более 16кг/см2</t>
        </r>
      </text>
    </comment>
  </commentList>
</comments>
</file>

<file path=xl/comments8.xml><?xml version="1.0" encoding="utf-8"?>
<comments xmlns="http://schemas.openxmlformats.org/spreadsheetml/2006/main">
  <authors>
    <author>Милющенко Владимир</author>
  </authors>
  <commentList>
    <comment ref="K8" authorId="0">
      <text>
        <r>
          <rPr>
            <sz val="8"/>
            <rFont val="Tahoma"/>
            <family val="0"/>
          </rPr>
          <t xml:space="preserve">1 сорт - 24 кг/см2
2,3         21 кг/см2
учесть к-т усл. работы
</t>
        </r>
      </text>
    </comment>
    <comment ref="K7" authorId="0">
      <text>
        <r>
          <rPr>
            <sz val="8"/>
            <rFont val="Tahoma"/>
            <family val="0"/>
          </rPr>
          <t xml:space="preserve">см. т3 СНИП 11-25-80
учесть к-т усл. Работы
п.3.2
</t>
        </r>
      </text>
    </comment>
    <comment ref="C8" authorId="0">
      <text>
        <r>
          <rPr>
            <sz val="8"/>
            <rFont val="Tahoma"/>
            <family val="0"/>
          </rPr>
          <t xml:space="preserve">
1,5h&lt;=Lск&lt;=10хhвр
</t>
        </r>
      </text>
    </comment>
  </commentList>
</comments>
</file>

<file path=xl/sharedStrings.xml><?xml version="1.0" encoding="utf-8"?>
<sst xmlns="http://schemas.openxmlformats.org/spreadsheetml/2006/main" count="340" uniqueCount="239">
  <si>
    <t>Расчет деревянных балок</t>
  </si>
  <si>
    <t>Распределенная нагрузка</t>
  </si>
  <si>
    <t>Сосредоточенная нагрузка</t>
  </si>
  <si>
    <t>Распредел. +сосредоточ.</t>
  </si>
  <si>
    <r>
      <t xml:space="preserve">Шаг,                 </t>
    </r>
    <r>
      <rPr>
        <sz val="10"/>
        <color indexed="12"/>
        <rFont val="Arial Cyr"/>
        <family val="0"/>
      </rPr>
      <t>( м.)</t>
    </r>
  </si>
  <si>
    <t>Пролет,   L1       (м.)</t>
  </si>
  <si>
    <r>
      <t xml:space="preserve">Пролет, </t>
    </r>
    <r>
      <rPr>
        <b/>
        <sz val="10"/>
        <color indexed="10"/>
        <rFont val="Arial Cyr"/>
        <family val="2"/>
      </rPr>
      <t xml:space="preserve"> L </t>
    </r>
    <r>
      <rPr>
        <b/>
        <sz val="10"/>
        <color indexed="12"/>
        <rFont val="Arial Cyr"/>
        <family val="0"/>
      </rPr>
      <t xml:space="preserve">      </t>
    </r>
    <r>
      <rPr>
        <sz val="10"/>
        <color indexed="12"/>
        <rFont val="Arial Cyr"/>
        <family val="0"/>
      </rPr>
      <t xml:space="preserve">  (м.)</t>
    </r>
  </si>
  <si>
    <r>
      <t xml:space="preserve">Пролет,         </t>
    </r>
    <r>
      <rPr>
        <sz val="10"/>
        <color indexed="12"/>
        <rFont val="Arial Cyr"/>
        <family val="0"/>
      </rPr>
      <t xml:space="preserve">   (м.)</t>
    </r>
  </si>
  <si>
    <t>Пролет,   L2       (м.)</t>
  </si>
  <si>
    <r>
      <t xml:space="preserve">Нагр.(расч.)  </t>
    </r>
    <r>
      <rPr>
        <sz val="10"/>
        <color indexed="12"/>
        <rFont val="Arial Cyr"/>
        <family val="0"/>
      </rPr>
      <t>(кг/м2)</t>
    </r>
    <r>
      <rPr>
        <b/>
        <sz val="10"/>
        <color indexed="12"/>
        <rFont val="Arial Cyr"/>
        <family val="0"/>
      </rPr>
      <t xml:space="preserve"> </t>
    </r>
  </si>
  <si>
    <r>
      <t xml:space="preserve">Нагр,(расч.)    </t>
    </r>
    <r>
      <rPr>
        <sz val="10"/>
        <color indexed="12"/>
        <rFont val="Arial Cyr"/>
        <family val="0"/>
      </rPr>
      <t xml:space="preserve">  (кг.)</t>
    </r>
    <r>
      <rPr>
        <b/>
        <sz val="10"/>
        <color indexed="12"/>
        <rFont val="Arial Cyr"/>
        <family val="0"/>
      </rPr>
      <t xml:space="preserve"> </t>
    </r>
  </si>
  <si>
    <r>
      <t>Нагр.(норм.),</t>
    </r>
    <r>
      <rPr>
        <sz val="10"/>
        <color indexed="12"/>
        <rFont val="Arial Cyr"/>
        <family val="0"/>
      </rPr>
      <t xml:space="preserve"> (кг/м2)</t>
    </r>
    <r>
      <rPr>
        <b/>
        <sz val="10"/>
        <color indexed="12"/>
        <rFont val="Arial Cyr"/>
        <family val="2"/>
      </rPr>
      <t xml:space="preserve"> </t>
    </r>
  </si>
  <si>
    <r>
      <t xml:space="preserve">Нагр.(норм.)     </t>
    </r>
    <r>
      <rPr>
        <sz val="10"/>
        <color indexed="12"/>
        <rFont val="Arial Cyr"/>
        <family val="0"/>
      </rPr>
      <t>(кг.)</t>
    </r>
    <r>
      <rPr>
        <b/>
        <sz val="10"/>
        <color indexed="12"/>
        <rFont val="Arial Cyr"/>
        <family val="2"/>
      </rPr>
      <t xml:space="preserve"> </t>
    </r>
  </si>
  <si>
    <r>
      <t xml:space="preserve">Ru,           </t>
    </r>
    <r>
      <rPr>
        <sz val="10"/>
        <color indexed="12"/>
        <rFont val="Arial Cyr"/>
        <family val="0"/>
      </rPr>
      <t xml:space="preserve">   (кг/см2)</t>
    </r>
  </si>
  <si>
    <r>
      <t xml:space="preserve">Прогиб,          </t>
    </r>
    <r>
      <rPr>
        <sz val="10"/>
        <color indexed="12"/>
        <rFont val="Arial Cyr"/>
        <family val="0"/>
      </rPr>
      <t xml:space="preserve"> (см.)</t>
    </r>
  </si>
  <si>
    <r>
      <t xml:space="preserve">Прогиб,          </t>
    </r>
    <r>
      <rPr>
        <sz val="10"/>
        <color indexed="12"/>
        <rFont val="Arial Cyr"/>
        <family val="0"/>
      </rPr>
      <t xml:space="preserve">  (см.)</t>
    </r>
  </si>
  <si>
    <r>
      <t xml:space="preserve">Прогиб,        </t>
    </r>
    <r>
      <rPr>
        <sz val="10"/>
        <color indexed="12"/>
        <rFont val="Arial Cyr"/>
        <family val="0"/>
      </rPr>
      <t xml:space="preserve">   (см.)</t>
    </r>
  </si>
  <si>
    <r>
      <t xml:space="preserve">Ru,             </t>
    </r>
    <r>
      <rPr>
        <sz val="10"/>
        <color indexed="12"/>
        <rFont val="Arial Cyr"/>
        <family val="0"/>
      </rPr>
      <t xml:space="preserve"> (кг/см2)</t>
    </r>
  </si>
  <si>
    <r>
      <t xml:space="preserve">Ru,         </t>
    </r>
    <r>
      <rPr>
        <sz val="10"/>
        <color indexed="12"/>
        <rFont val="Arial Cyr"/>
        <family val="0"/>
      </rPr>
      <t xml:space="preserve">      (кг/см2)</t>
    </r>
  </si>
  <si>
    <r>
      <t xml:space="preserve">Пролет,  </t>
    </r>
    <r>
      <rPr>
        <b/>
        <sz val="10"/>
        <color indexed="10"/>
        <rFont val="Arial Cyr"/>
        <family val="2"/>
      </rPr>
      <t xml:space="preserve"> L</t>
    </r>
    <r>
      <rPr>
        <b/>
        <sz val="10"/>
        <color indexed="12"/>
        <rFont val="Arial Cyr"/>
        <family val="0"/>
      </rPr>
      <t xml:space="preserve">        (м.)</t>
    </r>
  </si>
  <si>
    <r>
      <t>Экв.лин.</t>
    </r>
    <r>
      <rPr>
        <b/>
        <sz val="10"/>
        <color indexed="8"/>
        <rFont val="Arial Cyr"/>
        <family val="2"/>
      </rPr>
      <t>расч.</t>
    </r>
    <r>
      <rPr>
        <sz val="10"/>
        <color indexed="8"/>
        <rFont val="Arial Cyr"/>
        <family val="0"/>
      </rPr>
      <t>(кг/м)</t>
    </r>
  </si>
  <si>
    <r>
      <t xml:space="preserve">Лин.(расч.)    </t>
    </r>
    <r>
      <rPr>
        <sz val="10"/>
        <color indexed="8"/>
        <rFont val="Arial Cyr"/>
        <family val="2"/>
      </rPr>
      <t>(кг/м)</t>
    </r>
  </si>
  <si>
    <r>
      <t>Экв.лин.норм.(</t>
    </r>
    <r>
      <rPr>
        <sz val="10"/>
        <rFont val="Arial Cyr"/>
        <family val="0"/>
      </rPr>
      <t>кг/м</t>
    </r>
    <r>
      <rPr>
        <b/>
        <sz val="10"/>
        <rFont val="Arial Cyr"/>
        <family val="0"/>
      </rPr>
      <t>)</t>
    </r>
  </si>
  <si>
    <r>
      <t xml:space="preserve">Лин.(норм.)   </t>
    </r>
    <r>
      <rPr>
        <sz val="10"/>
        <rFont val="Arial Cyr"/>
        <family val="0"/>
      </rPr>
      <t xml:space="preserve"> (кг/м</t>
    </r>
    <r>
      <rPr>
        <b/>
        <sz val="10"/>
        <rFont val="Arial Cyr"/>
        <family val="0"/>
      </rPr>
      <t>)</t>
    </r>
  </si>
  <si>
    <r>
      <t>Момент,норм.</t>
    </r>
    <r>
      <rPr>
        <sz val="10"/>
        <rFont val="Arial Cyr"/>
        <family val="0"/>
      </rPr>
      <t>(кгxм)</t>
    </r>
  </si>
  <si>
    <r>
      <t>Момент, норм.</t>
    </r>
    <r>
      <rPr>
        <sz val="10"/>
        <rFont val="Arial Cyr"/>
        <family val="0"/>
      </rPr>
      <t>(кгxм)</t>
    </r>
  </si>
  <si>
    <r>
      <t xml:space="preserve">Момент,       </t>
    </r>
    <r>
      <rPr>
        <sz val="10"/>
        <rFont val="Arial Cyr"/>
        <family val="0"/>
      </rPr>
      <t xml:space="preserve"> (кгxм)</t>
    </r>
  </si>
  <si>
    <r>
      <t xml:space="preserve">Момент,расч. </t>
    </r>
    <r>
      <rPr>
        <sz val="10"/>
        <rFont val="Arial Cyr"/>
        <family val="0"/>
      </rPr>
      <t>(кгxм)</t>
    </r>
  </si>
  <si>
    <r>
      <t>Момент, расч.</t>
    </r>
    <r>
      <rPr>
        <sz val="10"/>
        <rFont val="Arial Cyr"/>
        <family val="0"/>
      </rPr>
      <t>(кгxм)</t>
    </r>
  </si>
  <si>
    <r>
      <t xml:space="preserve">Jтр,              </t>
    </r>
    <r>
      <rPr>
        <sz val="10"/>
        <rFont val="Arial Cyr"/>
        <family val="0"/>
      </rPr>
      <t xml:space="preserve"> (см4.)</t>
    </r>
  </si>
  <si>
    <r>
      <t xml:space="preserve">Jтр,                </t>
    </r>
    <r>
      <rPr>
        <sz val="10"/>
        <rFont val="Arial Cyr"/>
        <family val="0"/>
      </rPr>
      <t xml:space="preserve"> (см4.)</t>
    </r>
  </si>
  <si>
    <r>
      <t xml:space="preserve">Jтр,                 </t>
    </r>
    <r>
      <rPr>
        <sz val="10"/>
        <rFont val="Arial Cyr"/>
        <family val="0"/>
      </rPr>
      <t>(см4.)</t>
    </r>
  </si>
  <si>
    <r>
      <t>Н,</t>
    </r>
    <r>
      <rPr>
        <sz val="10"/>
        <color indexed="10"/>
        <rFont val="Arial Cyr"/>
        <family val="0"/>
      </rPr>
      <t xml:space="preserve">(прочность), </t>
    </r>
    <r>
      <rPr>
        <b/>
        <sz val="10"/>
        <color indexed="10"/>
        <rFont val="Arial Cyr"/>
        <family val="0"/>
      </rPr>
      <t xml:space="preserve"> (см.)</t>
    </r>
  </si>
  <si>
    <r>
      <t>Н,</t>
    </r>
    <r>
      <rPr>
        <sz val="10"/>
        <color indexed="10"/>
        <rFont val="Arial Cyr"/>
        <family val="0"/>
      </rPr>
      <t xml:space="preserve">(прочность),  </t>
    </r>
    <r>
      <rPr>
        <b/>
        <sz val="10"/>
        <color indexed="10"/>
        <rFont val="Arial Cyr"/>
        <family val="0"/>
      </rPr>
      <t xml:space="preserve"> (см.)</t>
    </r>
  </si>
  <si>
    <r>
      <t>Н, (</t>
    </r>
    <r>
      <rPr>
        <sz val="10"/>
        <color indexed="10"/>
        <rFont val="Arial Cyr"/>
        <family val="0"/>
      </rPr>
      <t>прогиб)</t>
    </r>
    <r>
      <rPr>
        <b/>
        <sz val="10"/>
        <color indexed="10"/>
        <rFont val="Arial Cyr"/>
        <family val="0"/>
      </rPr>
      <t>,      (см.)</t>
    </r>
  </si>
  <si>
    <r>
      <t xml:space="preserve">Н, </t>
    </r>
    <r>
      <rPr>
        <sz val="10"/>
        <color indexed="10"/>
        <rFont val="Arial Cyr"/>
        <family val="0"/>
      </rPr>
      <t>(прогиб),</t>
    </r>
    <r>
      <rPr>
        <b/>
        <sz val="10"/>
        <color indexed="10"/>
        <rFont val="Arial Cyr"/>
        <family val="0"/>
      </rPr>
      <t xml:space="preserve">       (см.)</t>
    </r>
  </si>
  <si>
    <r>
      <t>Н,</t>
    </r>
    <r>
      <rPr>
        <sz val="10"/>
        <color indexed="10"/>
        <rFont val="Arial Cyr"/>
        <family val="0"/>
      </rPr>
      <t xml:space="preserve"> (прогиб),</t>
    </r>
    <r>
      <rPr>
        <b/>
        <sz val="10"/>
        <color indexed="10"/>
        <rFont val="Arial Cyr"/>
        <family val="0"/>
      </rPr>
      <t xml:space="preserve">      (см.)</t>
    </r>
  </si>
  <si>
    <t>G=</t>
  </si>
  <si>
    <t>P=</t>
  </si>
  <si>
    <t>L2=</t>
  </si>
  <si>
    <t>L1=</t>
  </si>
  <si>
    <t>L=</t>
  </si>
  <si>
    <t>Сбор нагрузок на стропила</t>
  </si>
  <si>
    <t>Исходные данные</t>
  </si>
  <si>
    <t>Сбор нагрузок</t>
  </si>
  <si>
    <r>
      <t>У</t>
    </r>
    <r>
      <rPr>
        <sz val="10"/>
        <rFont val="Arial Cyr"/>
        <family val="0"/>
      </rPr>
      <t>гол наклона,        град.</t>
    </r>
  </si>
  <si>
    <t>Элементы</t>
  </si>
  <si>
    <t>Норм. кг/м</t>
  </si>
  <si>
    <t>К-т пер.</t>
  </si>
  <si>
    <t>Расч. кг/м</t>
  </si>
  <si>
    <r>
      <t>Ш</t>
    </r>
    <r>
      <rPr>
        <sz val="10"/>
        <rFont val="Arial Cyr"/>
        <family val="0"/>
      </rPr>
      <t>аг стропил,             м.</t>
    </r>
  </si>
  <si>
    <t>Кровля</t>
  </si>
  <si>
    <t>Обрешетка</t>
  </si>
  <si>
    <r>
      <t>С</t>
    </r>
    <r>
      <rPr>
        <sz val="10"/>
        <rFont val="Arial Cyr"/>
        <family val="0"/>
      </rPr>
      <t>ечение обреш .      м2.</t>
    </r>
  </si>
  <si>
    <t>Строп. нога (ориент.)</t>
  </si>
  <si>
    <r>
      <t>Н</t>
    </r>
    <r>
      <rPr>
        <sz val="10"/>
        <rFont val="Arial Cyr"/>
        <family val="0"/>
      </rPr>
      <t>агр. кровли,        кг/м2</t>
    </r>
  </si>
  <si>
    <t>Утепление</t>
  </si>
  <si>
    <r>
      <t>С</t>
    </r>
    <r>
      <rPr>
        <sz val="10"/>
        <rFont val="Arial Cyr"/>
        <family val="0"/>
      </rPr>
      <t>нег (район),         кг/м2</t>
    </r>
  </si>
  <si>
    <t>Снег</t>
  </si>
  <si>
    <r>
      <t>У</t>
    </r>
    <r>
      <rPr>
        <sz val="10"/>
        <rFont val="Arial Cyr"/>
        <family val="0"/>
      </rPr>
      <t>тепление (манс.) кг/м2</t>
    </r>
  </si>
  <si>
    <t>Итого</t>
  </si>
  <si>
    <t>bxh</t>
  </si>
  <si>
    <t>Прогиб</t>
  </si>
  <si>
    <t>Балки междуэтажн.</t>
  </si>
  <si>
    <t>1/250</t>
  </si>
  <si>
    <t>Балки чердачные.</t>
  </si>
  <si>
    <t>1/200</t>
  </si>
  <si>
    <t>Прогоны, стропила</t>
  </si>
  <si>
    <t>Вид кровли</t>
  </si>
  <si>
    <t>кг/м2</t>
  </si>
  <si>
    <t>Обрешетка,настил</t>
  </si>
  <si>
    <t>1/150</t>
  </si>
  <si>
    <t>А/цем. листы</t>
  </si>
  <si>
    <t>Плиты</t>
  </si>
  <si>
    <t>Листов. сталь</t>
  </si>
  <si>
    <t>Фермы</t>
  </si>
  <si>
    <t>1/300</t>
  </si>
  <si>
    <t>Черепица</t>
  </si>
  <si>
    <t>Несущ.элем. ендов</t>
  </si>
  <si>
    <t>1/400</t>
  </si>
  <si>
    <t>Расчет стропил</t>
  </si>
  <si>
    <t>Gрасч.=</t>
  </si>
  <si>
    <t>В, (заданное),    см.</t>
  </si>
  <si>
    <t>Gнорм.=</t>
  </si>
  <si>
    <t>Моп.=</t>
  </si>
  <si>
    <t>H=</t>
  </si>
  <si>
    <t>Угол</t>
  </si>
  <si>
    <t>h=</t>
  </si>
  <si>
    <t>b=</t>
  </si>
  <si>
    <t>N=</t>
  </si>
  <si>
    <t>M=</t>
  </si>
  <si>
    <t>Центральное сжатие</t>
  </si>
  <si>
    <t>х</t>
  </si>
  <si>
    <t>у</t>
  </si>
  <si>
    <t>Внецентренное сжатие</t>
  </si>
  <si>
    <t>Геометрич. характеристики</t>
  </si>
  <si>
    <t>Расчет</t>
  </si>
  <si>
    <r>
      <t xml:space="preserve">Р.сопр.сжат. </t>
    </r>
    <r>
      <rPr>
        <b/>
        <sz val="10"/>
        <color indexed="10"/>
        <rFont val="Arial Cyr"/>
        <family val="2"/>
      </rPr>
      <t>Rс</t>
    </r>
    <r>
      <rPr>
        <b/>
        <sz val="10"/>
        <rFont val="Arial Cyr"/>
        <family val="2"/>
      </rPr>
      <t xml:space="preserve">  Кг/см2</t>
    </r>
  </si>
  <si>
    <r>
      <t xml:space="preserve">Р.сопр.изг.   </t>
    </r>
    <r>
      <rPr>
        <b/>
        <sz val="10"/>
        <color indexed="10"/>
        <rFont val="Arial Cyr"/>
        <family val="2"/>
      </rPr>
      <t>Rи</t>
    </r>
    <r>
      <rPr>
        <b/>
        <sz val="10"/>
        <rFont val="Arial Cyr"/>
        <family val="2"/>
      </rPr>
      <t xml:space="preserve">  Кг/см2</t>
    </r>
  </si>
  <si>
    <t>2.Прочие сжатые эл-ты ферм</t>
  </si>
  <si>
    <t>3.Сжатые эл-ты связей</t>
  </si>
  <si>
    <t>1.Поса,раскосы,стойки ферм,колонны</t>
  </si>
  <si>
    <t>Примечания:</t>
  </si>
  <si>
    <t>--</t>
  </si>
  <si>
    <t>&gt;=</t>
  </si>
  <si>
    <t>а=</t>
  </si>
  <si>
    <t>Q=</t>
  </si>
  <si>
    <t>Н=</t>
  </si>
  <si>
    <t>h0=</t>
  </si>
  <si>
    <t>Расчет коньковой арки</t>
  </si>
  <si>
    <t>Угол,                       град.</t>
  </si>
  <si>
    <t>Прогиб,                     см.</t>
  </si>
  <si>
    <t>Втр.(устойчив.)       см</t>
  </si>
  <si>
    <t>Нтр.,прочн.,             см.</t>
  </si>
  <si>
    <r>
      <t xml:space="preserve">Wтр.,              </t>
    </r>
    <r>
      <rPr>
        <sz val="10"/>
        <color indexed="10"/>
        <rFont val="Arial Cyr"/>
        <family val="2"/>
      </rPr>
      <t>(см3)</t>
    </r>
  </si>
  <si>
    <r>
      <t xml:space="preserve">Wтр.,               </t>
    </r>
    <r>
      <rPr>
        <sz val="10"/>
        <color indexed="10"/>
        <rFont val="Arial Cyr"/>
        <family val="2"/>
      </rPr>
      <t>(см3)</t>
    </r>
  </si>
  <si>
    <r>
      <t xml:space="preserve">Wтр.,           </t>
    </r>
    <r>
      <rPr>
        <sz val="10"/>
        <color indexed="10"/>
        <rFont val="Arial Cyr"/>
        <family val="2"/>
      </rPr>
      <t xml:space="preserve">   (см3)</t>
    </r>
  </si>
  <si>
    <t>&lt;=</t>
  </si>
  <si>
    <t>В, заданная ,       см</t>
  </si>
  <si>
    <t>Н, (по сорт-ту),   см</t>
  </si>
  <si>
    <t>Момент (сжатие)      кгхм</t>
  </si>
  <si>
    <t>Высота затяжки по прочн.</t>
  </si>
  <si>
    <t>тс</t>
  </si>
  <si>
    <t>тсхм</t>
  </si>
  <si>
    <r>
      <t xml:space="preserve">Гибкость                   </t>
    </r>
    <r>
      <rPr>
        <b/>
        <sz val="10"/>
        <rFont val="Arial Cyr"/>
        <family val="0"/>
      </rPr>
      <t xml:space="preserve"> </t>
    </r>
    <r>
      <rPr>
        <b/>
        <sz val="10"/>
        <rFont val="Symbol"/>
        <family val="1"/>
      </rPr>
      <t>l</t>
    </r>
  </si>
  <si>
    <r>
      <t xml:space="preserve">Коэф.прод.изгиба      </t>
    </r>
    <r>
      <rPr>
        <b/>
        <sz val="10"/>
        <rFont val="Symbol"/>
        <family val="1"/>
      </rPr>
      <t>j</t>
    </r>
  </si>
  <si>
    <r>
      <t xml:space="preserve">Коэф.                       </t>
    </r>
    <r>
      <rPr>
        <b/>
        <sz val="10"/>
        <rFont val="Arial Cyr"/>
        <family val="0"/>
      </rPr>
      <t xml:space="preserve"> </t>
    </r>
    <r>
      <rPr>
        <b/>
        <sz val="10"/>
        <rFont val="Symbol"/>
        <family val="1"/>
      </rPr>
      <t>x</t>
    </r>
  </si>
  <si>
    <t>Принимаем Н     см</t>
  </si>
  <si>
    <t>Lск=</t>
  </si>
  <si>
    <t>hвр=</t>
  </si>
  <si>
    <t>a=</t>
  </si>
  <si>
    <t>Нес.сп-ть смятию   Тсм   кгс</t>
  </si>
  <si>
    <r>
      <t xml:space="preserve">Расч.сопр.смятию  </t>
    </r>
    <r>
      <rPr>
        <b/>
        <sz val="10"/>
        <rFont val="Arial Cyr"/>
        <family val="2"/>
      </rPr>
      <t>Rсм</t>
    </r>
    <r>
      <rPr>
        <sz val="10"/>
        <rFont val="Arial Cyr"/>
        <family val="0"/>
      </rPr>
      <t xml:space="preserve">  кг/см2</t>
    </r>
  </si>
  <si>
    <r>
      <t xml:space="preserve">Расч.сопр.скалыв.  </t>
    </r>
    <r>
      <rPr>
        <b/>
        <sz val="10"/>
        <rFont val="Arial Cyr"/>
        <family val="2"/>
      </rPr>
      <t xml:space="preserve">Rск </t>
    </r>
    <r>
      <rPr>
        <sz val="10"/>
        <rFont val="Arial Cyr"/>
        <family val="0"/>
      </rPr>
      <t xml:space="preserve"> кг/см2</t>
    </r>
  </si>
  <si>
    <r>
      <t xml:space="preserve">Расч.сопр.см.      </t>
    </r>
    <r>
      <rPr>
        <b/>
        <sz val="10"/>
        <rFont val="Arial Cyr"/>
        <family val="0"/>
      </rPr>
      <t>Rсм</t>
    </r>
    <r>
      <rPr>
        <b/>
        <sz val="10"/>
        <rFont val="Symbol"/>
        <family val="1"/>
      </rPr>
      <t>a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кг/см2</t>
    </r>
  </si>
  <si>
    <r>
      <t xml:space="preserve">Расч.сопр.скал.  </t>
    </r>
    <r>
      <rPr>
        <b/>
        <sz val="10"/>
        <rFont val="Arial Cyr"/>
        <family val="2"/>
      </rPr>
      <t>Rск.ср</t>
    </r>
    <r>
      <rPr>
        <sz val="10"/>
        <rFont val="Arial Cyr"/>
        <family val="0"/>
      </rPr>
      <t xml:space="preserve">  кг/см2</t>
    </r>
  </si>
  <si>
    <r>
      <t xml:space="preserve">Площадь смятия     </t>
    </r>
    <r>
      <rPr>
        <b/>
        <sz val="10"/>
        <rFont val="Arial Cyr"/>
        <family val="2"/>
      </rPr>
      <t xml:space="preserve">Fсм     </t>
    </r>
    <r>
      <rPr>
        <sz val="10"/>
        <rFont val="Arial Cyr"/>
        <family val="0"/>
      </rPr>
      <t>см2</t>
    </r>
  </si>
  <si>
    <r>
      <t xml:space="preserve">Площадь скалыв.    </t>
    </r>
    <r>
      <rPr>
        <b/>
        <sz val="10"/>
        <rFont val="Arial Cyr"/>
        <family val="2"/>
      </rPr>
      <t xml:space="preserve">Fск     </t>
    </r>
    <r>
      <rPr>
        <sz val="10"/>
        <rFont val="Arial Cyr"/>
        <family val="0"/>
      </rPr>
      <t>см2</t>
    </r>
  </si>
  <si>
    <t>Nсм=</t>
  </si>
  <si>
    <t>Nск=</t>
  </si>
  <si>
    <t>&gt;</t>
  </si>
  <si>
    <t>см</t>
  </si>
  <si>
    <t>кг</t>
  </si>
  <si>
    <t>Расчет смятия и скалывания</t>
  </si>
  <si>
    <t>&lt;=Lск&lt;=</t>
  </si>
  <si>
    <t>Нес.сп-ть скалыв.    Тск   кгс</t>
  </si>
  <si>
    <t>Ru,                      кг/см2</t>
  </si>
  <si>
    <t>Принимаем  Н,   см</t>
  </si>
  <si>
    <t xml:space="preserve"> </t>
  </si>
  <si>
    <t>Номер схемы</t>
  </si>
  <si>
    <t>К-во гвоздей на1 соед</t>
  </si>
  <si>
    <t>Диаметр гвоздей</t>
  </si>
  <si>
    <t>Число срезов гвоздей</t>
  </si>
  <si>
    <t>Гибкость сечения Лу</t>
  </si>
  <si>
    <t>Момент инерции Jу</t>
  </si>
  <si>
    <t>Радиус инерции  Iу</t>
  </si>
  <si>
    <t>Гибкость сечения  Лу</t>
  </si>
  <si>
    <t>Гибкость ветви      Лв</t>
  </si>
  <si>
    <t>К-т приведения     Му</t>
  </si>
  <si>
    <t>м</t>
  </si>
  <si>
    <t>Схема №1</t>
  </si>
  <si>
    <t>Схема №2</t>
  </si>
  <si>
    <t>Гибкость составных сечений (гвоздевое соединение)</t>
  </si>
  <si>
    <r>
      <t xml:space="preserve">Прив.гибк.     </t>
    </r>
    <r>
      <rPr>
        <b/>
        <sz val="10"/>
        <color indexed="53"/>
        <rFont val="Arial Cyr"/>
        <family val="2"/>
      </rPr>
      <t xml:space="preserve"> Лу</t>
    </r>
    <r>
      <rPr>
        <b/>
        <sz val="10"/>
        <rFont val="Arial Cyr"/>
        <family val="2"/>
      </rPr>
      <t xml:space="preserve"> (прив)</t>
    </r>
  </si>
  <si>
    <r>
      <t xml:space="preserve">Гибкость сеч. </t>
    </r>
    <r>
      <rPr>
        <b/>
        <sz val="10"/>
        <color indexed="53"/>
        <rFont val="Arial Cyr"/>
        <family val="2"/>
      </rPr>
      <t>Лх</t>
    </r>
  </si>
  <si>
    <t>Кз=</t>
  </si>
  <si>
    <r>
      <t>Момент (сжат.)</t>
    </r>
    <r>
      <rPr>
        <b/>
        <sz val="10"/>
        <rFont val="Arial Cyr"/>
        <family val="2"/>
      </rPr>
      <t xml:space="preserve">  Мд</t>
    </r>
    <r>
      <rPr>
        <sz val="10"/>
        <rFont val="Arial Cyr"/>
        <family val="0"/>
      </rPr>
      <t xml:space="preserve">  кгхм</t>
    </r>
  </si>
  <si>
    <t>кг/м</t>
  </si>
  <si>
    <t>кгхм</t>
  </si>
  <si>
    <r>
      <t xml:space="preserve">К-т пр.изг-ба </t>
    </r>
    <r>
      <rPr>
        <b/>
        <sz val="10"/>
        <rFont val="Arial Cyr"/>
        <family val="2"/>
      </rPr>
      <t xml:space="preserve"> </t>
    </r>
    <r>
      <rPr>
        <b/>
        <sz val="10"/>
        <color indexed="12"/>
        <rFont val="Symbol"/>
        <family val="1"/>
      </rPr>
      <t xml:space="preserve"> j</t>
    </r>
    <r>
      <rPr>
        <b/>
        <sz val="10"/>
        <color indexed="12"/>
        <rFont val="Arial Cyr"/>
        <family val="2"/>
      </rPr>
      <t>х</t>
    </r>
    <r>
      <rPr>
        <b/>
        <sz val="10"/>
        <rFont val="Arial Cyr"/>
        <family val="2"/>
      </rPr>
      <t xml:space="preserve"> </t>
    </r>
  </si>
  <si>
    <r>
      <t>К-т пр.изг-ба</t>
    </r>
    <r>
      <rPr>
        <b/>
        <sz val="10"/>
        <rFont val="Arial Cyr"/>
        <family val="2"/>
      </rPr>
      <t xml:space="preserve">  </t>
    </r>
    <r>
      <rPr>
        <b/>
        <sz val="10"/>
        <color indexed="12"/>
        <rFont val="Symbol"/>
        <family val="1"/>
      </rPr>
      <t xml:space="preserve"> j</t>
    </r>
    <r>
      <rPr>
        <b/>
        <sz val="10"/>
        <color indexed="12"/>
        <rFont val="Arial Cyr"/>
        <family val="2"/>
      </rPr>
      <t xml:space="preserve">у </t>
    </r>
  </si>
  <si>
    <t>Х</t>
  </si>
  <si>
    <t>У</t>
  </si>
  <si>
    <r>
      <t xml:space="preserve">Ппощ.сеч.    </t>
    </r>
    <r>
      <rPr>
        <b/>
        <sz val="10"/>
        <color indexed="12"/>
        <rFont val="Arial Cyr"/>
        <family val="2"/>
      </rPr>
      <t xml:space="preserve">  F  </t>
    </r>
    <r>
      <rPr>
        <b/>
        <sz val="10"/>
        <rFont val="Arial Cyr"/>
        <family val="2"/>
      </rPr>
      <t xml:space="preserve">   см2</t>
    </r>
  </si>
  <si>
    <r>
      <t xml:space="preserve">Мом.сопр. </t>
    </r>
    <r>
      <rPr>
        <b/>
        <sz val="10"/>
        <rFont val="Arial Cyr"/>
        <family val="2"/>
      </rPr>
      <t xml:space="preserve">   </t>
    </r>
    <r>
      <rPr>
        <b/>
        <sz val="10"/>
        <color indexed="12"/>
        <rFont val="Arial Cyr"/>
        <family val="2"/>
      </rPr>
      <t xml:space="preserve"> Wx</t>
    </r>
    <r>
      <rPr>
        <b/>
        <sz val="10"/>
        <rFont val="Arial Cyr"/>
        <family val="2"/>
      </rPr>
      <t xml:space="preserve">   см3</t>
    </r>
  </si>
  <si>
    <r>
      <t>Мом.сопр</t>
    </r>
    <r>
      <rPr>
        <b/>
        <sz val="10"/>
        <rFont val="Arial Cyr"/>
        <family val="2"/>
      </rPr>
      <t xml:space="preserve">.    </t>
    </r>
    <r>
      <rPr>
        <b/>
        <sz val="10"/>
        <color indexed="12"/>
        <rFont val="Arial Cyr"/>
        <family val="2"/>
      </rPr>
      <t xml:space="preserve"> Wy</t>
    </r>
    <r>
      <rPr>
        <b/>
        <sz val="10"/>
        <rFont val="Arial Cyr"/>
        <family val="2"/>
      </rPr>
      <t xml:space="preserve">   см3</t>
    </r>
  </si>
  <si>
    <r>
      <t xml:space="preserve">Нес.сп-ть (прочн)    </t>
    </r>
    <r>
      <rPr>
        <b/>
        <sz val="10"/>
        <color indexed="12"/>
        <rFont val="Arial Cyr"/>
        <family val="2"/>
      </rPr>
      <t xml:space="preserve">N  </t>
    </r>
    <r>
      <rPr>
        <b/>
        <sz val="10"/>
        <color indexed="10"/>
        <rFont val="Arial Cyr"/>
        <family val="2"/>
      </rPr>
      <t xml:space="preserve"> тс</t>
    </r>
  </si>
  <si>
    <r>
      <t xml:space="preserve">Нес.сп-ть (устойч)   </t>
    </r>
    <r>
      <rPr>
        <b/>
        <sz val="10"/>
        <color indexed="12"/>
        <rFont val="Arial Cyr"/>
        <family val="2"/>
      </rPr>
      <t>N</t>
    </r>
    <r>
      <rPr>
        <b/>
        <sz val="10"/>
        <color indexed="10"/>
        <rFont val="Arial Cyr"/>
        <family val="2"/>
      </rPr>
      <t xml:space="preserve">   тс</t>
    </r>
  </si>
  <si>
    <t xml:space="preserve">Расчет стоек </t>
  </si>
  <si>
    <r>
      <t xml:space="preserve">Гибкость     </t>
    </r>
    <r>
      <rPr>
        <b/>
        <sz val="11"/>
        <color indexed="12"/>
        <rFont val="Arial Cyr"/>
        <family val="2"/>
      </rPr>
      <t xml:space="preserve">  </t>
    </r>
    <r>
      <rPr>
        <b/>
        <sz val="11"/>
        <color indexed="12"/>
        <rFont val="Symbol"/>
        <family val="1"/>
      </rPr>
      <t>l</t>
    </r>
    <r>
      <rPr>
        <b/>
        <sz val="11"/>
        <color indexed="12"/>
        <rFont val="Arial Cyr"/>
        <family val="2"/>
      </rPr>
      <t xml:space="preserve"> x</t>
    </r>
  </si>
  <si>
    <r>
      <t xml:space="preserve">Гибкость    </t>
    </r>
    <r>
      <rPr>
        <b/>
        <sz val="11"/>
        <color indexed="12"/>
        <rFont val="Arial Cyr"/>
        <family val="2"/>
      </rPr>
      <t xml:space="preserve">   </t>
    </r>
    <r>
      <rPr>
        <b/>
        <sz val="11"/>
        <color indexed="12"/>
        <rFont val="Symbol"/>
        <family val="1"/>
      </rPr>
      <t>l</t>
    </r>
    <r>
      <rPr>
        <b/>
        <sz val="11"/>
        <color indexed="12"/>
        <rFont val="Arial Cyr"/>
        <family val="2"/>
      </rPr>
      <t xml:space="preserve"> y</t>
    </r>
  </si>
  <si>
    <t>Угол,                     град.</t>
  </si>
  <si>
    <t>Нтр., (прочн.),         см.</t>
  </si>
  <si>
    <t>Прогиб,                    cм.</t>
  </si>
  <si>
    <t>Втр(устойч.),           см.</t>
  </si>
  <si>
    <t>Нтр., (прогиб),         см.</t>
  </si>
  <si>
    <r>
      <t xml:space="preserve">Гибкость                    </t>
    </r>
    <r>
      <rPr>
        <b/>
        <sz val="10"/>
        <rFont val="Arial Cyr"/>
        <family val="0"/>
      </rPr>
      <t xml:space="preserve"> </t>
    </r>
    <r>
      <rPr>
        <b/>
        <sz val="10"/>
        <rFont val="Symbol"/>
        <family val="1"/>
      </rPr>
      <t>l</t>
    </r>
  </si>
  <si>
    <r>
      <t xml:space="preserve">Коэф.прод.изгиба       </t>
    </r>
    <r>
      <rPr>
        <b/>
        <sz val="10"/>
        <rFont val="Symbol"/>
        <family val="1"/>
      </rPr>
      <t>j</t>
    </r>
  </si>
  <si>
    <r>
      <t xml:space="preserve">Коэф.                        </t>
    </r>
    <r>
      <rPr>
        <b/>
        <sz val="10"/>
        <rFont val="Arial Cyr"/>
        <family val="0"/>
      </rPr>
      <t xml:space="preserve"> </t>
    </r>
    <r>
      <rPr>
        <b/>
        <sz val="10"/>
        <rFont val="Symbol"/>
        <family val="1"/>
      </rPr>
      <t>x</t>
    </r>
  </si>
  <si>
    <t xml:space="preserve">Gнорм=  </t>
  </si>
  <si>
    <t>Gрасч=</t>
  </si>
  <si>
    <t>Нтр.,прогиб,             см.</t>
  </si>
  <si>
    <t>В, заданная ,      см</t>
  </si>
  <si>
    <t>Втр.(устойчив.)        см</t>
  </si>
  <si>
    <t>Момент,норм  .        кгхм</t>
  </si>
  <si>
    <t>Прогиб,               cм.</t>
  </si>
  <si>
    <t>Момент,расч.         кгхм</t>
  </si>
  <si>
    <t>Wтр.,                        см3</t>
  </si>
  <si>
    <t>Jтр.,                         см4</t>
  </si>
  <si>
    <t>Момент,                кгхм</t>
  </si>
  <si>
    <t>Wтр.                       см3</t>
  </si>
  <si>
    <t>Jтр.                          м4</t>
  </si>
  <si>
    <t>Нагрузка погонная кг/м</t>
  </si>
  <si>
    <t>Момент     Мх        кгхм</t>
  </si>
  <si>
    <t>Момент     Му        кгхм</t>
  </si>
  <si>
    <t xml:space="preserve">                Wx        см3</t>
  </si>
  <si>
    <t xml:space="preserve">                Wy        см3</t>
  </si>
  <si>
    <t>Напряжения       кг/см2</t>
  </si>
  <si>
    <t>Расчет обрешетки (2х пролетн.)</t>
  </si>
  <si>
    <r>
      <t xml:space="preserve">Ширина,             </t>
    </r>
    <r>
      <rPr>
        <b/>
        <sz val="10"/>
        <rFont val="Arial Cyr"/>
        <family val="0"/>
      </rPr>
      <t xml:space="preserve"> b,  см.</t>
    </r>
  </si>
  <si>
    <r>
      <t xml:space="preserve">Высота,              </t>
    </r>
    <r>
      <rPr>
        <b/>
        <sz val="10"/>
        <rFont val="Arial Cyr"/>
        <family val="0"/>
      </rPr>
      <t>h,  см.</t>
    </r>
  </si>
  <si>
    <r>
      <t>Ш</t>
    </r>
    <r>
      <rPr>
        <sz val="10"/>
        <rFont val="Arial Cyr"/>
        <family val="0"/>
      </rPr>
      <t xml:space="preserve">аг обрешетки,   </t>
    </r>
    <r>
      <rPr>
        <b/>
        <sz val="10"/>
        <rFont val="Arial Cyr"/>
        <family val="2"/>
      </rPr>
      <t>s,    м</t>
    </r>
    <r>
      <rPr>
        <sz val="10"/>
        <rFont val="Arial Cyr"/>
        <family val="0"/>
      </rPr>
      <t>.</t>
    </r>
  </si>
  <si>
    <t>(град.)</t>
  </si>
  <si>
    <t>Напряж.скал.кг/см2</t>
  </si>
  <si>
    <t>Напряж.изг.   кг/см2</t>
  </si>
  <si>
    <t>Прогиб,                 cм.</t>
  </si>
  <si>
    <t>Напряж.изг.      кг/см2</t>
  </si>
  <si>
    <t>Напряж.скал.   кг/см2</t>
  </si>
  <si>
    <t>Нтр.,прочн.,        см.</t>
  </si>
  <si>
    <t>Нтр.,прогиб.,      см.</t>
  </si>
  <si>
    <t>Jтр                          см4</t>
  </si>
  <si>
    <t>Момент,расч.        кгхм</t>
  </si>
  <si>
    <t>Wтр.,                      см3</t>
  </si>
  <si>
    <r>
      <t xml:space="preserve">Пролет,                 </t>
    </r>
    <r>
      <rPr>
        <sz val="10"/>
        <color indexed="10"/>
        <rFont val="Arial Cyr"/>
        <family val="2"/>
      </rPr>
      <t>L*</t>
    </r>
    <r>
      <rPr>
        <sz val="10"/>
        <rFont val="Arial Cyr"/>
        <family val="2"/>
      </rPr>
      <t>, м.</t>
    </r>
  </si>
  <si>
    <t>Напряж.скал. кг/см2</t>
  </si>
  <si>
    <t>Ru,                         кг/см2</t>
  </si>
  <si>
    <t>Напряж. в сеч.  кг/см2</t>
  </si>
  <si>
    <t>Qср.лев=0.5*q*L1+Mоп/L1</t>
  </si>
  <si>
    <t>Qa=0.5*q*L1-Mоп/L1</t>
  </si>
  <si>
    <t>Rср=0.5*g*L+Моп/L1+Моп/L2</t>
  </si>
  <si>
    <t>Qср.прав=0.5*q*L2+Mоп/L2</t>
  </si>
  <si>
    <t>Qc=0.5*q*L2-Mоп/L2</t>
  </si>
  <si>
    <r>
      <t xml:space="preserve">Jтр, (СТАЛЬ) </t>
    </r>
    <r>
      <rPr>
        <sz val="10"/>
        <color indexed="8"/>
        <rFont val="Arial Cyr"/>
        <family val="2"/>
      </rPr>
      <t xml:space="preserve"> (см4.)</t>
    </r>
  </si>
  <si>
    <r>
      <t xml:space="preserve">Jтр, (СТАЛЬ)  </t>
    </r>
    <r>
      <rPr>
        <sz val="10"/>
        <color indexed="8"/>
        <rFont val="Arial Cyr"/>
        <family val="2"/>
      </rPr>
      <t xml:space="preserve"> (см4.)</t>
    </r>
  </si>
  <si>
    <r>
      <t xml:space="preserve">Jтр, (СТАЛЬ)   </t>
    </r>
    <r>
      <rPr>
        <sz val="10"/>
        <color indexed="8"/>
        <rFont val="Arial Cyr"/>
        <family val="2"/>
      </rPr>
      <t>(см4.)</t>
    </r>
  </si>
  <si>
    <t xml:space="preserve">В, (заданная), (см.)   </t>
  </si>
  <si>
    <t xml:space="preserve">В, (заданная),  (см.)   </t>
  </si>
  <si>
    <t>Напр.скал.  Кг/см2</t>
  </si>
  <si>
    <t>Момент в пролете  кгхм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</si>
</sst>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E+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E+00"/>
    <numFmt numFmtId="179" formatCode="0.0E+00"/>
    <numFmt numFmtId="180" formatCode="0.0"/>
    <numFmt numFmtId="181" formatCode="_-* #,##0.0_р_._-;\-* #,##0.0_р_._-;_-* &quot;-&quot;_р_._-;_-@_-"/>
    <numFmt numFmtId="182" formatCode="_-* #,##0.00_р_._-;\-* #,##0.00_р_._-;_-* &quot;-&quot;_р_._-;_-@_-"/>
    <numFmt numFmtId="183" formatCode="_-* #,##0.000_р_._-;\-* #,##0.000_р_._-;_-* &quot;-&quot;_р_._-;_-@_-"/>
    <numFmt numFmtId="184" formatCode="_-* #,##0.0000_р_._-;\-* #,##0.0000_р_._-;_-* &quot;-&quot;_р_._-;_-@_-"/>
    <numFmt numFmtId="185" formatCode="_-* #,##0.00000_р_._-;\-* #,##0.00000_р_._-;_-* &quot;-&quot;_р_._-;_-@_-"/>
    <numFmt numFmtId="186" formatCode="0.00_ ;\-0.00\ "/>
    <numFmt numFmtId="187" formatCode="0.0_ ;\-0.0\ "/>
    <numFmt numFmtId="188" formatCode="0_ ;\-0\ "/>
    <numFmt numFmtId="189" formatCode="0.00000000"/>
    <numFmt numFmtId="190" formatCode="0.000000000"/>
  </numFmts>
  <fonts count="7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color indexed="12"/>
      <name val="Arial Cyr"/>
      <family val="2"/>
    </font>
    <font>
      <b/>
      <sz val="10"/>
      <color indexed="10"/>
      <name val="Arial Cyr"/>
      <family val="2"/>
    </font>
    <font>
      <sz val="10"/>
      <color indexed="11"/>
      <name val="Arial Cyr"/>
      <family val="2"/>
    </font>
    <font>
      <b/>
      <u val="single"/>
      <sz val="14"/>
      <name val="Arial Cyr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0"/>
    </font>
    <font>
      <b/>
      <sz val="11"/>
      <name val="Arial Cyr"/>
      <family val="0"/>
    </font>
    <font>
      <sz val="12"/>
      <name val="Arial Narrow"/>
      <family val="2"/>
    </font>
    <font>
      <sz val="10"/>
      <name val="Courier New Cyr"/>
      <family val="3"/>
    </font>
    <font>
      <b/>
      <i/>
      <u val="single"/>
      <sz val="10"/>
      <name val="Arial Cyr"/>
      <family val="2"/>
    </font>
    <font>
      <b/>
      <i/>
      <sz val="10"/>
      <color indexed="8"/>
      <name val="Arial Cyr"/>
      <family val="2"/>
    </font>
    <font>
      <b/>
      <i/>
      <u val="single"/>
      <sz val="10"/>
      <color indexed="10"/>
      <name val="Arial Cyr"/>
      <family val="2"/>
    </font>
    <font>
      <sz val="10"/>
      <color indexed="47"/>
      <name val="Arial Cyr"/>
      <family val="2"/>
    </font>
    <font>
      <b/>
      <sz val="12"/>
      <color indexed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 Cyr"/>
      <family val="2"/>
    </font>
    <font>
      <b/>
      <sz val="12"/>
      <color indexed="12"/>
      <name val="Arial Cyr"/>
      <family val="2"/>
    </font>
    <font>
      <b/>
      <sz val="10"/>
      <name val="Symbol"/>
      <family val="1"/>
    </font>
    <font>
      <b/>
      <sz val="10"/>
      <color indexed="10"/>
      <name val="Symbol"/>
      <family val="1"/>
    </font>
    <font>
      <b/>
      <i/>
      <sz val="10"/>
      <color indexed="10"/>
      <name val="Arial Cyr"/>
      <family val="2"/>
    </font>
    <font>
      <i/>
      <sz val="10"/>
      <color indexed="48"/>
      <name val="Arial Cyr"/>
      <family val="2"/>
    </font>
    <font>
      <b/>
      <u val="single"/>
      <sz val="12"/>
      <name val="Arial Cyr"/>
      <family val="2"/>
    </font>
    <font>
      <b/>
      <sz val="12"/>
      <color indexed="8"/>
      <name val="Arial Cyr"/>
      <family val="2"/>
    </font>
    <font>
      <b/>
      <i/>
      <u val="single"/>
      <sz val="10"/>
      <color indexed="12"/>
      <name val="Arial Cyr"/>
      <family val="2"/>
    </font>
    <font>
      <b/>
      <sz val="10"/>
      <color indexed="53"/>
      <name val="Arial Cyr"/>
      <family val="2"/>
    </font>
    <font>
      <b/>
      <sz val="10"/>
      <color indexed="12"/>
      <name val="Symbol"/>
      <family val="1"/>
    </font>
    <font>
      <b/>
      <sz val="11"/>
      <color indexed="8"/>
      <name val="Arial Cyr"/>
      <family val="2"/>
    </font>
    <font>
      <b/>
      <i/>
      <u val="single"/>
      <sz val="10"/>
      <color indexed="8"/>
      <name val="Arial Cyr"/>
      <family val="2"/>
    </font>
    <font>
      <b/>
      <sz val="11"/>
      <color indexed="12"/>
      <name val="Arial Cyr"/>
      <family val="2"/>
    </font>
    <font>
      <b/>
      <sz val="11"/>
      <color indexed="12"/>
      <name val="Symbol"/>
      <family val="1"/>
    </font>
    <font>
      <b/>
      <i/>
      <sz val="11"/>
      <color indexed="8"/>
      <name val="Arial Cyr"/>
      <family val="2"/>
    </font>
    <font>
      <b/>
      <i/>
      <sz val="12"/>
      <color indexed="12"/>
      <name val="Arial Cyr"/>
      <family val="2"/>
    </font>
    <font>
      <i/>
      <sz val="12"/>
      <name val="Arial Cyr"/>
      <family val="2"/>
    </font>
    <font>
      <b/>
      <i/>
      <sz val="12"/>
      <name val="Arial Cyr"/>
      <family val="2"/>
    </font>
    <font>
      <b/>
      <sz val="11"/>
      <color indexed="10"/>
      <name val="Arial Cyr"/>
      <family val="2"/>
    </font>
    <font>
      <b/>
      <u val="single"/>
      <sz val="11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>
      <alignment horizontal="centerContinuous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18" fillId="0" borderId="0" xfId="0" applyFont="1" applyAlignment="1">
      <alignment/>
    </xf>
    <xf numFmtId="2" fontId="10" fillId="35" borderId="10" xfId="0" applyNumberFormat="1" applyFont="1" applyFill="1" applyBorder="1" applyAlignment="1" applyProtection="1">
      <alignment horizontal="centerContinuous"/>
      <protection/>
    </xf>
    <xf numFmtId="0" fontId="11" fillId="0" borderId="0" xfId="0" applyFont="1" applyAlignment="1">
      <alignment/>
    </xf>
    <xf numFmtId="0" fontId="10" fillId="36" borderId="10" xfId="0" applyFont="1" applyFill="1" applyBorder="1" applyAlignment="1" applyProtection="1">
      <alignment horizontal="left" indent="1"/>
      <protection/>
    </xf>
    <xf numFmtId="0" fontId="0" fillId="33" borderId="0" xfId="0" applyFill="1" applyBorder="1" applyAlignment="1" applyProtection="1">
      <alignment/>
      <protection/>
    </xf>
    <xf numFmtId="0" fontId="0" fillId="37" borderId="11" xfId="0" applyFill="1" applyBorder="1" applyAlignment="1" applyProtection="1">
      <alignment horizontal="left" indent="1"/>
      <protection/>
    </xf>
    <xf numFmtId="2" fontId="0" fillId="37" borderId="12" xfId="0" applyNumberFormat="1" applyFont="1" applyFill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2" fontId="5" fillId="38" borderId="13" xfId="0" applyNumberFormat="1" applyFont="1" applyFill="1" applyBorder="1" applyAlignment="1" applyProtection="1">
      <alignment horizontal="centerContinuous"/>
      <protection/>
    </xf>
    <xf numFmtId="2" fontId="10" fillId="33" borderId="0" xfId="0" applyNumberFormat="1" applyFont="1" applyFill="1" applyBorder="1" applyAlignment="1" applyProtection="1">
      <alignment horizontal="center"/>
      <protection/>
    </xf>
    <xf numFmtId="0" fontId="0" fillId="37" borderId="12" xfId="0" applyFill="1" applyBorder="1" applyAlignment="1" applyProtection="1">
      <alignment horizontal="left" indent="1"/>
      <protection/>
    </xf>
    <xf numFmtId="0" fontId="10" fillId="39" borderId="14" xfId="0" applyFont="1" applyFill="1" applyBorder="1" applyAlignment="1" applyProtection="1">
      <alignment horizontal="centerContinuous"/>
      <protection locked="0"/>
    </xf>
    <xf numFmtId="0" fontId="1" fillId="0" borderId="0" xfId="0" applyFont="1" applyAlignment="1">
      <alignment horizontal="center"/>
    </xf>
    <xf numFmtId="0" fontId="9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36" borderId="10" xfId="0" applyFill="1" applyBorder="1" applyAlignment="1">
      <alignment vertical="center"/>
    </xf>
    <xf numFmtId="0" fontId="1" fillId="39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10" fillId="39" borderId="14" xfId="0" applyFont="1" applyFill="1" applyBorder="1" applyAlignment="1" applyProtection="1">
      <alignment horizontal="center" vertical="center"/>
      <protection locked="0"/>
    </xf>
    <xf numFmtId="0" fontId="1" fillId="39" borderId="14" xfId="0" applyFont="1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>
      <alignment vertical="center"/>
    </xf>
    <xf numFmtId="0" fontId="1" fillId="39" borderId="11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0" fillId="40" borderId="11" xfId="0" applyFill="1" applyBorder="1" applyAlignment="1">
      <alignment vertical="center"/>
    </xf>
    <xf numFmtId="0" fontId="1" fillId="40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0" fillId="41" borderId="11" xfId="0" applyFill="1" applyBorder="1" applyAlignment="1">
      <alignment vertical="center"/>
    </xf>
    <xf numFmtId="2" fontId="1" fillId="41" borderId="11" xfId="0" applyNumberFormat="1" applyFont="1" applyFill="1" applyBorder="1" applyAlignment="1">
      <alignment horizontal="center" vertical="center"/>
    </xf>
    <xf numFmtId="0" fontId="0" fillId="41" borderId="15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41" borderId="12" xfId="0" applyFill="1" applyBorder="1" applyAlignment="1">
      <alignment vertical="center"/>
    </xf>
    <xf numFmtId="0" fontId="1" fillId="41" borderId="11" xfId="0" applyFont="1" applyFill="1" applyBorder="1" applyAlignment="1">
      <alignment horizontal="center" vertical="center"/>
    </xf>
    <xf numFmtId="0" fontId="0" fillId="40" borderId="15" xfId="0" applyFill="1" applyBorder="1" applyAlignment="1">
      <alignment vertical="center"/>
    </xf>
    <xf numFmtId="0" fontId="1" fillId="40" borderId="15" xfId="0" applyFont="1" applyFill="1" applyBorder="1" applyAlignment="1">
      <alignment horizontal="center" vertical="center"/>
    </xf>
    <xf numFmtId="2" fontId="5" fillId="38" borderId="16" xfId="0" applyNumberFormat="1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26" fillId="38" borderId="16" xfId="0" applyFont="1" applyFill="1" applyBorder="1" applyAlignment="1">
      <alignment vertical="center"/>
    </xf>
    <xf numFmtId="0" fontId="0" fillId="37" borderId="19" xfId="0" applyFill="1" applyBorder="1" applyAlignment="1" applyProtection="1">
      <alignment horizontal="left" indent="1"/>
      <protection/>
    </xf>
    <xf numFmtId="0" fontId="1" fillId="36" borderId="20" xfId="0" applyFont="1" applyFill="1" applyBorder="1" applyAlignment="1" applyProtection="1">
      <alignment horizontal="left"/>
      <protection/>
    </xf>
    <xf numFmtId="0" fontId="1" fillId="36" borderId="21" xfId="0" applyFont="1" applyFill="1" applyBorder="1" applyAlignment="1" applyProtection="1">
      <alignment horizontal="left"/>
      <protection/>
    </xf>
    <xf numFmtId="2" fontId="13" fillId="37" borderId="12" xfId="0" applyNumberFormat="1" applyFont="1" applyFill="1" applyBorder="1" applyAlignment="1" applyProtection="1">
      <alignment horizontal="centerContinuous"/>
      <protection/>
    </xf>
    <xf numFmtId="0" fontId="10" fillId="37" borderId="22" xfId="0" applyFont="1" applyFill="1" applyBorder="1" applyAlignment="1" applyProtection="1">
      <alignment horizontal="centerContinuous"/>
      <protection/>
    </xf>
    <xf numFmtId="0" fontId="0" fillId="37" borderId="10" xfId="0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 horizontal="center"/>
      <protection/>
    </xf>
    <xf numFmtId="0" fontId="0" fillId="37" borderId="12" xfId="0" applyFill="1" applyBorder="1" applyAlignment="1" applyProtection="1">
      <alignment/>
      <protection/>
    </xf>
    <xf numFmtId="0" fontId="1" fillId="37" borderId="12" xfId="0" applyFont="1" applyFill="1" applyBorder="1" applyAlignment="1" applyProtection="1">
      <alignment horizontal="center"/>
      <protection/>
    </xf>
    <xf numFmtId="0" fontId="0" fillId="37" borderId="21" xfId="0" applyFill="1" applyBorder="1" applyAlignment="1" applyProtection="1">
      <alignment/>
      <protection/>
    </xf>
    <xf numFmtId="0" fontId="0" fillId="37" borderId="23" xfId="0" applyFill="1" applyBorder="1" applyAlignment="1" applyProtection="1">
      <alignment/>
      <protection/>
    </xf>
    <xf numFmtId="0" fontId="1" fillId="37" borderId="24" xfId="0" applyFont="1" applyFill="1" applyBorder="1" applyAlignment="1" applyProtection="1">
      <alignment horizontal="center"/>
      <protection/>
    </xf>
    <xf numFmtId="0" fontId="0" fillId="37" borderId="24" xfId="0" applyFill="1" applyBorder="1" applyAlignment="1" applyProtection="1">
      <alignment/>
      <protection/>
    </xf>
    <xf numFmtId="0" fontId="0" fillId="36" borderId="21" xfId="0" applyFont="1" applyFill="1" applyBorder="1" applyAlignment="1" applyProtection="1">
      <alignment horizontal="left"/>
      <protection/>
    </xf>
    <xf numFmtId="0" fontId="0" fillId="36" borderId="23" xfId="0" applyFont="1" applyFill="1" applyBorder="1" applyAlignment="1" applyProtection="1">
      <alignment horizontal="left"/>
      <protection/>
    </xf>
    <xf numFmtId="0" fontId="1" fillId="38" borderId="25" xfId="0" applyFont="1" applyFill="1" applyBorder="1" applyAlignment="1" applyProtection="1">
      <alignment horizontal="center"/>
      <protection/>
    </xf>
    <xf numFmtId="0" fontId="0" fillId="38" borderId="26" xfId="0" applyFill="1" applyBorder="1" applyAlignment="1" applyProtection="1">
      <alignment/>
      <protection/>
    </xf>
    <xf numFmtId="180" fontId="23" fillId="39" borderId="16" xfId="0" applyNumberFormat="1" applyFont="1" applyFill="1" applyBorder="1" applyAlignment="1" applyProtection="1">
      <alignment horizontal="centerContinuous"/>
      <protection locked="0"/>
    </xf>
    <xf numFmtId="0" fontId="23" fillId="39" borderId="16" xfId="0" applyFont="1" applyFill="1" applyBorder="1" applyAlignment="1" applyProtection="1">
      <alignment horizontal="center"/>
      <protection locked="0"/>
    </xf>
    <xf numFmtId="0" fontId="22" fillId="39" borderId="16" xfId="0" applyFont="1" applyFill="1" applyBorder="1" applyAlignment="1">
      <alignment horizontal="left" indent="1"/>
    </xf>
    <xf numFmtId="0" fontId="29" fillId="39" borderId="16" xfId="0" applyFont="1" applyFill="1" applyBorder="1" applyAlignment="1" applyProtection="1">
      <alignment horizontal="left" indent="1"/>
      <protection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36" borderId="10" xfId="0" applyFill="1" applyBorder="1" applyAlignment="1">
      <alignment horizontal="left" vertical="center" indent="1"/>
    </xf>
    <xf numFmtId="0" fontId="0" fillId="36" borderId="11" xfId="0" applyFill="1" applyBorder="1" applyAlignment="1">
      <alignment horizontal="left" vertical="center" indent="1"/>
    </xf>
    <xf numFmtId="0" fontId="0" fillId="37" borderId="11" xfId="0" applyFill="1" applyBorder="1" applyAlignment="1">
      <alignment horizontal="left" vertical="center" indent="1"/>
    </xf>
    <xf numFmtId="1" fontId="0" fillId="37" borderId="11" xfId="0" applyNumberForma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2" fontId="0" fillId="37" borderId="11" xfId="0" applyNumberFormat="1" applyFill="1" applyBorder="1" applyAlignment="1">
      <alignment horizontal="center" vertical="center"/>
    </xf>
    <xf numFmtId="1" fontId="31" fillId="38" borderId="16" xfId="0" applyNumberFormat="1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left" vertical="center" indent="1"/>
    </xf>
    <xf numFmtId="0" fontId="0" fillId="0" borderId="0" xfId="0" applyAlignment="1" applyProtection="1">
      <alignment vertical="center"/>
      <protection locked="0"/>
    </xf>
    <xf numFmtId="0" fontId="10" fillId="39" borderId="10" xfId="0" applyFont="1" applyFill="1" applyBorder="1" applyAlignment="1" applyProtection="1">
      <alignment horizontal="center" vertical="center"/>
      <protection locked="0"/>
    </xf>
    <xf numFmtId="0" fontId="10" fillId="39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0" fillId="42" borderId="0" xfId="0" applyFill="1" applyAlignment="1">
      <alignment/>
    </xf>
    <xf numFmtId="0" fontId="0" fillId="42" borderId="0" xfId="0" applyFill="1" applyAlignment="1" applyProtection="1">
      <alignment/>
      <protection/>
    </xf>
    <xf numFmtId="0" fontId="0" fillId="42" borderId="0" xfId="0" applyFill="1" applyAlignment="1">
      <alignment vertical="center"/>
    </xf>
    <xf numFmtId="0" fontId="6" fillId="42" borderId="0" xfId="0" applyFont="1" applyFill="1" applyAlignment="1">
      <alignment vertical="center"/>
    </xf>
    <xf numFmtId="0" fontId="0" fillId="42" borderId="0" xfId="0" applyFill="1" applyAlignment="1" applyProtection="1">
      <alignment vertical="center"/>
      <protection/>
    </xf>
    <xf numFmtId="0" fontId="7" fillId="42" borderId="0" xfId="0" applyFont="1" applyFill="1" applyAlignment="1" applyProtection="1">
      <alignment horizontal="left" vertical="center"/>
      <protection/>
    </xf>
    <xf numFmtId="0" fontId="7" fillId="42" borderId="0" xfId="0" applyFont="1" applyFill="1" applyAlignment="1" applyProtection="1">
      <alignment horizontal="centerContinuous" vertical="center"/>
      <protection/>
    </xf>
    <xf numFmtId="0" fontId="0" fillId="42" borderId="0" xfId="0" applyFill="1" applyAlignment="1" applyProtection="1">
      <alignment horizontal="right" vertical="center"/>
      <protection/>
    </xf>
    <xf numFmtId="2" fontId="1" fillId="42" borderId="0" xfId="59" applyNumberFormat="1" applyFont="1" applyFill="1" applyBorder="1" applyAlignment="1" applyProtection="1">
      <alignment horizontal="centerContinuous" vertical="center"/>
      <protection/>
    </xf>
    <xf numFmtId="0" fontId="0" fillId="42" borderId="0" xfId="0" applyFill="1" applyBorder="1" applyAlignment="1" applyProtection="1">
      <alignment vertical="center"/>
      <protection/>
    </xf>
    <xf numFmtId="0" fontId="5" fillId="42" borderId="0" xfId="0" applyFont="1" applyFill="1" applyAlignment="1" applyProtection="1">
      <alignment horizontal="right" vertical="center"/>
      <protection/>
    </xf>
    <xf numFmtId="0" fontId="4" fillId="42" borderId="0" xfId="0" applyFont="1" applyFill="1" applyBorder="1" applyAlignment="1" applyProtection="1">
      <alignment horizontal="left" vertical="center"/>
      <protection/>
    </xf>
    <xf numFmtId="0" fontId="5" fillId="42" borderId="0" xfId="0" applyFont="1" applyFill="1" applyAlignment="1" applyProtection="1">
      <alignment horizontal="center" vertical="center"/>
      <protection/>
    </xf>
    <xf numFmtId="0" fontId="5" fillId="42" borderId="0" xfId="0" applyFont="1" applyFill="1" applyAlignment="1" applyProtection="1">
      <alignment horizontal="center" vertical="center"/>
      <protection/>
    </xf>
    <xf numFmtId="2" fontId="4" fillId="42" borderId="0" xfId="0" applyNumberFormat="1" applyFont="1" applyFill="1" applyBorder="1" applyAlignment="1" applyProtection="1">
      <alignment horizontal="left" vertical="center"/>
      <protection/>
    </xf>
    <xf numFmtId="0" fontId="1" fillId="42" borderId="0" xfId="0" applyFont="1" applyFill="1" applyAlignment="1">
      <alignment vertical="center"/>
    </xf>
    <xf numFmtId="0" fontId="4" fillId="36" borderId="10" xfId="0" applyFont="1" applyFill="1" applyBorder="1" applyAlignment="1" applyProtection="1">
      <alignment vertical="center"/>
      <protection/>
    </xf>
    <xf numFmtId="0" fontId="4" fillId="36" borderId="11" xfId="0" applyFont="1" applyFill="1" applyBorder="1" applyAlignment="1" applyProtection="1">
      <alignment vertical="center"/>
      <protection/>
    </xf>
    <xf numFmtId="0" fontId="4" fillId="36" borderId="11" xfId="0" applyFont="1" applyFill="1" applyBorder="1" applyAlignment="1" applyProtection="1">
      <alignment vertical="center"/>
      <protection/>
    </xf>
    <xf numFmtId="0" fontId="4" fillId="36" borderId="11" xfId="0" applyFont="1" applyFill="1" applyBorder="1" applyAlignment="1" applyProtection="1">
      <alignment horizontal="left" vertical="center"/>
      <protection/>
    </xf>
    <xf numFmtId="2" fontId="4" fillId="39" borderId="10" xfId="0" applyNumberFormat="1" applyFont="1" applyFill="1" applyBorder="1" applyAlignment="1" applyProtection="1">
      <alignment horizontal="centerContinuous" vertical="center"/>
      <protection locked="0"/>
    </xf>
    <xf numFmtId="2" fontId="4" fillId="39" borderId="11" xfId="0" applyNumberFormat="1" applyFont="1" applyFill="1" applyBorder="1" applyAlignment="1" applyProtection="1">
      <alignment horizontal="centerContinuous" vertical="center"/>
      <protection locked="0"/>
    </xf>
    <xf numFmtId="0" fontId="4" fillId="39" borderId="16" xfId="0" applyFont="1" applyFill="1" applyBorder="1" applyAlignment="1" applyProtection="1">
      <alignment horizontal="centerContinuous" vertical="center"/>
      <protection locked="0"/>
    </xf>
    <xf numFmtId="0" fontId="10" fillId="37" borderId="27" xfId="0" applyFont="1" applyFill="1" applyBorder="1" applyAlignment="1" applyProtection="1">
      <alignment vertical="center"/>
      <protection/>
    </xf>
    <xf numFmtId="2" fontId="1" fillId="37" borderId="11" xfId="0" applyNumberFormat="1" applyFont="1" applyFill="1" applyBorder="1" applyAlignment="1" applyProtection="1">
      <alignment horizontal="centerContinuous" vertical="center"/>
      <protection/>
    </xf>
    <xf numFmtId="0" fontId="1" fillId="37" borderId="11" xfId="0" applyFont="1" applyFill="1" applyBorder="1" applyAlignment="1" applyProtection="1">
      <alignment vertical="center"/>
      <protection/>
    </xf>
    <xf numFmtId="2" fontId="1" fillId="37" borderId="27" xfId="0" applyNumberFormat="1" applyFont="1" applyFill="1" applyBorder="1" applyAlignment="1" applyProtection="1">
      <alignment horizontal="centerContinuous" vertical="center"/>
      <protection/>
    </xf>
    <xf numFmtId="0" fontId="5" fillId="37" borderId="11" xfId="0" applyFont="1" applyFill="1" applyBorder="1" applyAlignment="1" applyProtection="1">
      <alignment vertical="center"/>
      <protection/>
    </xf>
    <xf numFmtId="2" fontId="5" fillId="37" borderId="11" xfId="0" applyNumberFormat="1" applyFont="1" applyFill="1" applyBorder="1" applyAlignment="1" applyProtection="1">
      <alignment horizontal="centerContinuous" vertical="center"/>
      <protection/>
    </xf>
    <xf numFmtId="2" fontId="1" fillId="37" borderId="11" xfId="59" applyNumberFormat="1" applyFont="1" applyFill="1" applyBorder="1" applyAlignment="1" applyProtection="1">
      <alignment horizontal="center" vertical="center"/>
      <protection/>
    </xf>
    <xf numFmtId="0" fontId="5" fillId="38" borderId="16" xfId="0" applyFont="1" applyFill="1" applyBorder="1" applyAlignment="1" applyProtection="1">
      <alignment vertical="center"/>
      <protection/>
    </xf>
    <xf numFmtId="2" fontId="5" fillId="38" borderId="16" xfId="0" applyNumberFormat="1" applyFont="1" applyFill="1" applyBorder="1" applyAlignment="1" applyProtection="1">
      <alignment horizontal="centerContinuous" vertical="center"/>
      <protection/>
    </xf>
    <xf numFmtId="0" fontId="10" fillId="43" borderId="17" xfId="0" applyFont="1" applyFill="1" applyBorder="1" applyAlignment="1" applyProtection="1">
      <alignment horizontal="centerContinuous" vertical="center"/>
      <protection/>
    </xf>
    <xf numFmtId="0" fontId="10" fillId="43" borderId="18" xfId="0" applyFont="1" applyFill="1" applyBorder="1" applyAlignment="1" applyProtection="1">
      <alignment horizontal="centerContinuous" vertical="center"/>
      <protection/>
    </xf>
    <xf numFmtId="0" fontId="4" fillId="36" borderId="10" xfId="0" applyFont="1" applyFill="1" applyBorder="1" applyAlignment="1" applyProtection="1">
      <alignment vertical="center"/>
      <protection/>
    </xf>
    <xf numFmtId="0" fontId="4" fillId="39" borderId="10" xfId="0" applyFont="1" applyFill="1" applyBorder="1" applyAlignment="1" applyProtection="1">
      <alignment horizontal="centerContinuous" vertical="center"/>
      <protection locked="0"/>
    </xf>
    <xf numFmtId="2" fontId="4" fillId="39" borderId="10" xfId="0" applyNumberFormat="1" applyFont="1" applyFill="1" applyBorder="1" applyAlignment="1" applyProtection="1">
      <alignment horizontal="centerContinuous" vertical="center"/>
      <protection locked="0"/>
    </xf>
    <xf numFmtId="0" fontId="4" fillId="39" borderId="11" xfId="0" applyFont="1" applyFill="1" applyBorder="1" applyAlignment="1" applyProtection="1">
      <alignment horizontal="centerContinuous" vertical="center"/>
      <protection locked="0"/>
    </xf>
    <xf numFmtId="0" fontId="10" fillId="37" borderId="10" xfId="0" applyFont="1" applyFill="1" applyBorder="1" applyAlignment="1" applyProtection="1">
      <alignment vertical="center"/>
      <protection/>
    </xf>
    <xf numFmtId="2" fontId="10" fillId="37" borderId="10" xfId="0" applyNumberFormat="1" applyFont="1" applyFill="1" applyBorder="1" applyAlignment="1" applyProtection="1">
      <alignment horizontal="centerContinuous" vertical="center"/>
      <protection/>
    </xf>
    <xf numFmtId="0" fontId="10" fillId="37" borderId="11" xfId="0" applyFont="1" applyFill="1" applyBorder="1" applyAlignment="1" applyProtection="1">
      <alignment vertical="center"/>
      <protection/>
    </xf>
    <xf numFmtId="2" fontId="10" fillId="37" borderId="11" xfId="0" applyNumberFormat="1" applyFont="1" applyFill="1" applyBorder="1" applyAlignment="1" applyProtection="1">
      <alignment horizontal="centerContinuous" vertical="center"/>
      <protection/>
    </xf>
    <xf numFmtId="0" fontId="1" fillId="37" borderId="27" xfId="0" applyFont="1" applyFill="1" applyBorder="1" applyAlignment="1" applyProtection="1">
      <alignment vertical="center"/>
      <protection/>
    </xf>
    <xf numFmtId="0" fontId="1" fillId="37" borderId="27" xfId="0" applyFont="1" applyFill="1" applyBorder="1" applyAlignment="1" applyProtection="1">
      <alignment horizontal="center" vertical="center"/>
      <protection/>
    </xf>
    <xf numFmtId="2" fontId="10" fillId="37" borderId="11" xfId="0" applyNumberFormat="1" applyFont="1" applyFill="1" applyBorder="1" applyAlignment="1" applyProtection="1">
      <alignment horizontal="centerContinuous" vertical="center"/>
      <protection/>
    </xf>
    <xf numFmtId="0" fontId="14" fillId="42" borderId="0" xfId="0" applyFont="1" applyFill="1" applyAlignment="1" applyProtection="1">
      <alignment horizontal="centerContinuous"/>
      <protection/>
    </xf>
    <xf numFmtId="0" fontId="0" fillId="42" borderId="0" xfId="0" applyFill="1" applyAlignment="1" applyProtection="1">
      <alignment horizontal="center"/>
      <protection/>
    </xf>
    <xf numFmtId="177" fontId="10" fillId="42" borderId="0" xfId="0" applyNumberFormat="1" applyFont="1" applyFill="1" applyBorder="1" applyAlignment="1" applyProtection="1">
      <alignment horizontal="center"/>
      <protection/>
    </xf>
    <xf numFmtId="0" fontId="1" fillId="43" borderId="17" xfId="0" applyFont="1" applyFill="1" applyBorder="1" applyAlignment="1" applyProtection="1">
      <alignment horizontal="centerContinuous"/>
      <protection/>
    </xf>
    <xf numFmtId="0" fontId="1" fillId="40" borderId="17" xfId="0" applyFont="1" applyFill="1" applyBorder="1" applyAlignment="1" applyProtection="1">
      <alignment horizontal="centerContinuous"/>
      <protection/>
    </xf>
    <xf numFmtId="0" fontId="1" fillId="40" borderId="18" xfId="0" applyFont="1" applyFill="1" applyBorder="1" applyAlignment="1" applyProtection="1">
      <alignment horizontal="centerContinuous"/>
      <protection/>
    </xf>
    <xf numFmtId="0" fontId="0" fillId="40" borderId="28" xfId="0" applyFill="1" applyBorder="1" applyAlignment="1" applyProtection="1">
      <alignment horizontal="centerContinuous"/>
      <protection/>
    </xf>
    <xf numFmtId="0" fontId="0" fillId="40" borderId="18" xfId="0" applyFill="1" applyBorder="1" applyAlignment="1" applyProtection="1">
      <alignment horizontal="centerContinuous"/>
      <protection/>
    </xf>
    <xf numFmtId="0" fontId="1" fillId="43" borderId="16" xfId="0" applyFont="1" applyFill="1" applyBorder="1" applyAlignment="1" applyProtection="1">
      <alignment/>
      <protection/>
    </xf>
    <xf numFmtId="0" fontId="1" fillId="43" borderId="28" xfId="0" applyFont="1" applyFill="1" applyBorder="1" applyAlignment="1" applyProtection="1">
      <alignment horizontal="centerContinuous"/>
      <protection/>
    </xf>
    <xf numFmtId="0" fontId="1" fillId="43" borderId="16" xfId="0" applyFont="1" applyFill="1" applyBorder="1" applyAlignment="1" applyProtection="1">
      <alignment horizontal="centerContinuous"/>
      <protection/>
    </xf>
    <xf numFmtId="2" fontId="4" fillId="39" borderId="10" xfId="0" applyNumberFormat="1" applyFont="1" applyFill="1" applyBorder="1" applyAlignment="1" applyProtection="1">
      <alignment horizontal="center"/>
      <protection locked="0"/>
    </xf>
    <xf numFmtId="2" fontId="4" fillId="39" borderId="12" xfId="0" applyNumberFormat="1" applyFont="1" applyFill="1" applyBorder="1" applyAlignment="1" applyProtection="1">
      <alignment horizontal="centerContinuous"/>
      <protection locked="0"/>
    </xf>
    <xf numFmtId="0" fontId="4" fillId="39" borderId="12" xfId="0" applyFont="1" applyFill="1" applyBorder="1" applyAlignment="1" applyProtection="1">
      <alignment horizontal="center"/>
      <protection locked="0"/>
    </xf>
    <xf numFmtId="0" fontId="4" fillId="39" borderId="24" xfId="0" applyFont="1" applyFill="1" applyBorder="1" applyAlignment="1" applyProtection="1">
      <alignment horizontal="center"/>
      <protection locked="0"/>
    </xf>
    <xf numFmtId="0" fontId="10" fillId="39" borderId="14" xfId="0" applyFont="1" applyFill="1" applyBorder="1" applyAlignment="1" applyProtection="1">
      <alignment horizontal="center"/>
      <protection locked="0"/>
    </xf>
    <xf numFmtId="177" fontId="1" fillId="39" borderId="14" xfId="0" applyNumberFormat="1" applyFont="1" applyFill="1" applyBorder="1" applyAlignment="1" applyProtection="1">
      <alignment horizontal="center"/>
      <protection locked="0"/>
    </xf>
    <xf numFmtId="0" fontId="1" fillId="37" borderId="17" xfId="0" applyFont="1" applyFill="1" applyBorder="1" applyAlignment="1" applyProtection="1">
      <alignment horizontal="center"/>
      <protection/>
    </xf>
    <xf numFmtId="0" fontId="1" fillId="37" borderId="16" xfId="0" applyFont="1" applyFill="1" applyBorder="1" applyAlignment="1" applyProtection="1">
      <alignment horizontal="center"/>
      <protection/>
    </xf>
    <xf numFmtId="0" fontId="1" fillId="40" borderId="17" xfId="0" applyFont="1" applyFill="1" applyBorder="1" applyAlignment="1" applyProtection="1">
      <alignment horizontal="center"/>
      <protection/>
    </xf>
    <xf numFmtId="0" fontId="1" fillId="40" borderId="16" xfId="0" applyFont="1" applyFill="1" applyBorder="1" applyAlignment="1" applyProtection="1">
      <alignment horizontal="center"/>
      <protection/>
    </xf>
    <xf numFmtId="0" fontId="0" fillId="40" borderId="28" xfId="0" applyFill="1" applyBorder="1" applyAlignment="1" applyProtection="1">
      <alignment/>
      <protection/>
    </xf>
    <xf numFmtId="0" fontId="22" fillId="44" borderId="17" xfId="0" applyFont="1" applyFill="1" applyBorder="1" applyAlignment="1">
      <alignment horizontal="right"/>
    </xf>
    <xf numFmtId="2" fontId="22" fillId="44" borderId="18" xfId="0" applyNumberFormat="1" applyFont="1" applyFill="1" applyBorder="1" applyAlignment="1">
      <alignment horizontal="left"/>
    </xf>
    <xf numFmtId="0" fontId="22" fillId="44" borderId="17" xfId="0" applyFont="1" applyFill="1" applyBorder="1" applyAlignment="1" applyProtection="1">
      <alignment horizontal="right"/>
      <protection/>
    </xf>
    <xf numFmtId="2" fontId="22" fillId="44" borderId="18" xfId="0" applyNumberFormat="1" applyFont="1" applyFill="1" applyBorder="1" applyAlignment="1" applyProtection="1">
      <alignment horizontal="left"/>
      <protection/>
    </xf>
    <xf numFmtId="2" fontId="23" fillId="39" borderId="16" xfId="0" applyNumberFormat="1" applyFont="1" applyFill="1" applyBorder="1" applyAlignment="1" applyProtection="1">
      <alignment horizontal="centerContinuous"/>
      <protection locked="0"/>
    </xf>
    <xf numFmtId="2" fontId="10" fillId="35" borderId="27" xfId="0" applyNumberFormat="1" applyFont="1" applyFill="1" applyBorder="1" applyAlignment="1" applyProtection="1">
      <alignment horizontal="centerContinuous"/>
      <protection/>
    </xf>
    <xf numFmtId="0" fontId="10" fillId="0" borderId="0" xfId="0" applyFont="1" applyAlignment="1">
      <alignment horizontal="left"/>
    </xf>
    <xf numFmtId="0" fontId="0" fillId="38" borderId="25" xfId="0" applyFill="1" applyBorder="1" applyAlignment="1">
      <alignment/>
    </xf>
    <xf numFmtId="0" fontId="0" fillId="38" borderId="29" xfId="0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31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32" xfId="0" applyFill="1" applyBorder="1" applyAlignment="1">
      <alignment/>
    </xf>
    <xf numFmtId="0" fontId="0" fillId="38" borderId="26" xfId="0" applyFill="1" applyBorder="1" applyAlignment="1">
      <alignment vertical="center"/>
    </xf>
    <xf numFmtId="0" fontId="0" fillId="43" borderId="25" xfId="0" applyFill="1" applyBorder="1" applyAlignment="1">
      <alignment vertical="center"/>
    </xf>
    <xf numFmtId="0" fontId="0" fillId="43" borderId="26" xfId="0" applyFill="1" applyBorder="1" applyAlignment="1">
      <alignment vertical="center"/>
    </xf>
    <xf numFmtId="0" fontId="0" fillId="43" borderId="29" xfId="0" applyFill="1" applyBorder="1" applyAlignment="1">
      <alignment vertical="center"/>
    </xf>
    <xf numFmtId="0" fontId="0" fillId="38" borderId="0" xfId="0" applyFill="1" applyBorder="1" applyAlignment="1">
      <alignment vertical="center"/>
    </xf>
    <xf numFmtId="0" fontId="0" fillId="43" borderId="30" xfId="0" applyFill="1" applyBorder="1" applyAlignment="1">
      <alignment vertical="center"/>
    </xf>
    <xf numFmtId="0" fontId="0" fillId="43" borderId="0" xfId="0" applyFill="1" applyBorder="1" applyAlignment="1">
      <alignment vertical="center"/>
    </xf>
    <xf numFmtId="0" fontId="33" fillId="43" borderId="0" xfId="0" applyFont="1" applyFill="1" applyBorder="1" applyAlignment="1">
      <alignment horizontal="right" vertical="center"/>
    </xf>
    <xf numFmtId="0" fontId="9" fillId="43" borderId="31" xfId="0" applyFont="1" applyFill="1" applyBorder="1" applyAlignment="1">
      <alignment vertical="center"/>
    </xf>
    <xf numFmtId="0" fontId="0" fillId="42" borderId="30" xfId="0" applyFill="1" applyBorder="1" applyAlignment="1">
      <alignment vertical="center"/>
    </xf>
    <xf numFmtId="0" fontId="0" fillId="42" borderId="0" xfId="0" applyFill="1" applyBorder="1" applyAlignment="1">
      <alignment vertical="center"/>
    </xf>
    <xf numFmtId="0" fontId="0" fillId="42" borderId="31" xfId="0" applyFill="1" applyBorder="1" applyAlignment="1">
      <alignment vertical="center"/>
    </xf>
    <xf numFmtId="0" fontId="0" fillId="43" borderId="31" xfId="0" applyFill="1" applyBorder="1" applyAlignment="1">
      <alignment vertical="center"/>
    </xf>
    <xf numFmtId="0" fontId="16" fillId="40" borderId="17" xfId="0" applyFont="1" applyFill="1" applyBorder="1" applyAlignment="1">
      <alignment horizontal="center" vertical="center"/>
    </xf>
    <xf numFmtId="0" fontId="16" fillId="40" borderId="18" xfId="0" applyFont="1" applyFill="1" applyBorder="1" applyAlignment="1">
      <alignment horizontal="center" vertical="center"/>
    </xf>
    <xf numFmtId="0" fontId="0" fillId="38" borderId="13" xfId="0" applyFill="1" applyBorder="1" applyAlignment="1">
      <alignment vertical="center"/>
    </xf>
    <xf numFmtId="0" fontId="16" fillId="40" borderId="28" xfId="0" applyFont="1" applyFill="1" applyBorder="1" applyAlignment="1">
      <alignment horizontal="center" vertical="center"/>
    </xf>
    <xf numFmtId="0" fontId="1" fillId="36" borderId="33" xfId="0" applyFont="1" applyFill="1" applyBorder="1" applyAlignment="1">
      <alignment horizontal="left" vertical="center" indent="1"/>
    </xf>
    <xf numFmtId="0" fontId="10" fillId="39" borderId="16" xfId="0" applyFont="1" applyFill="1" applyBorder="1" applyAlignment="1" applyProtection="1">
      <alignment horizontal="center" vertical="center"/>
      <protection locked="0"/>
    </xf>
    <xf numFmtId="0" fontId="0" fillId="38" borderId="27" xfId="0" applyFill="1" applyBorder="1" applyAlignment="1">
      <alignment vertical="center"/>
    </xf>
    <xf numFmtId="0" fontId="1" fillId="36" borderId="34" xfId="0" applyFont="1" applyFill="1" applyBorder="1" applyAlignment="1">
      <alignment horizontal="left" vertical="center" indent="1"/>
    </xf>
    <xf numFmtId="0" fontId="5" fillId="38" borderId="22" xfId="0" applyFont="1" applyFill="1" applyBorder="1" applyAlignment="1">
      <alignment vertical="center"/>
    </xf>
    <xf numFmtId="0" fontId="22" fillId="38" borderId="10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5" fillId="42" borderId="35" xfId="0" applyFont="1" applyFill="1" applyBorder="1" applyAlignment="1">
      <alignment horizontal="center" vertical="center"/>
    </xf>
    <xf numFmtId="0" fontId="5" fillId="38" borderId="36" xfId="0" applyFont="1" applyFill="1" applyBorder="1" applyAlignment="1">
      <alignment vertical="center"/>
    </xf>
    <xf numFmtId="2" fontId="22" fillId="38" borderId="19" xfId="0" applyNumberFormat="1" applyFont="1" applyFill="1" applyBorder="1" applyAlignment="1">
      <alignment horizontal="center" vertical="center"/>
    </xf>
    <xf numFmtId="0" fontId="0" fillId="42" borderId="37" xfId="0" applyFill="1" applyBorder="1" applyAlignment="1">
      <alignment vertical="center"/>
    </xf>
    <xf numFmtId="0" fontId="1" fillId="42" borderId="38" xfId="0" applyFont="1" applyFill="1" applyBorder="1" applyAlignment="1">
      <alignment horizontal="center" vertical="center"/>
    </xf>
    <xf numFmtId="0" fontId="0" fillId="42" borderId="0" xfId="0" applyFont="1" applyFill="1" applyBorder="1" applyAlignment="1">
      <alignment horizontal="center" vertical="center"/>
    </xf>
    <xf numFmtId="2" fontId="1" fillId="40" borderId="16" xfId="0" applyNumberFormat="1" applyFont="1" applyFill="1" applyBorder="1" applyAlignment="1" applyProtection="1">
      <alignment horizontal="center"/>
      <protection/>
    </xf>
    <xf numFmtId="0" fontId="0" fillId="37" borderId="21" xfId="0" applyFont="1" applyFill="1" applyBorder="1" applyAlignment="1">
      <alignment horizontal="left" vertical="center" indent="1"/>
    </xf>
    <xf numFmtId="0" fontId="0" fillId="37" borderId="10" xfId="0" applyFont="1" applyFill="1" applyBorder="1" applyAlignment="1">
      <alignment horizontal="center" vertical="center"/>
    </xf>
    <xf numFmtId="2" fontId="29" fillId="38" borderId="10" xfId="0" applyNumberFormat="1" applyFont="1" applyFill="1" applyBorder="1" applyAlignment="1">
      <alignment horizontal="center" vertical="center"/>
    </xf>
    <xf numFmtId="0" fontId="0" fillId="37" borderId="33" xfId="0" applyFont="1" applyFill="1" applyBorder="1" applyAlignment="1">
      <alignment horizontal="left" vertical="center" indent="1"/>
    </xf>
    <xf numFmtId="0" fontId="0" fillId="37" borderId="11" xfId="0" applyFont="1" applyFill="1" applyBorder="1" applyAlignment="1">
      <alignment horizontal="center" vertical="center"/>
    </xf>
    <xf numFmtId="0" fontId="5" fillId="38" borderId="39" xfId="0" applyFont="1" applyFill="1" applyBorder="1" applyAlignment="1">
      <alignment vertical="center"/>
    </xf>
    <xf numFmtId="0" fontId="0" fillId="37" borderId="40" xfId="0" applyFont="1" applyFill="1" applyBorder="1" applyAlignment="1">
      <alignment horizontal="left" vertical="center" indent="1"/>
    </xf>
    <xf numFmtId="0" fontId="0" fillId="37" borderId="15" xfId="0" applyFont="1" applyFill="1" applyBorder="1" applyAlignment="1">
      <alignment horizontal="center" vertical="center"/>
    </xf>
    <xf numFmtId="0" fontId="5" fillId="43" borderId="0" xfId="0" applyFont="1" applyFill="1" applyBorder="1" applyAlignment="1">
      <alignment horizontal="center" vertical="center"/>
    </xf>
    <xf numFmtId="177" fontId="0" fillId="37" borderId="12" xfId="0" applyNumberFormat="1" applyFont="1" applyFill="1" applyBorder="1" applyAlignment="1">
      <alignment horizontal="center" vertical="center"/>
    </xf>
    <xf numFmtId="0" fontId="4" fillId="43" borderId="31" xfId="0" applyFont="1" applyFill="1" applyBorder="1" applyAlignment="1" applyProtection="1">
      <alignment horizontal="center" vertical="center"/>
      <protection locked="0"/>
    </xf>
    <xf numFmtId="0" fontId="0" fillId="37" borderId="34" xfId="0" applyFont="1" applyFill="1" applyBorder="1" applyAlignment="1">
      <alignment horizontal="left" vertical="center" indent="1"/>
    </xf>
    <xf numFmtId="177" fontId="0" fillId="37" borderId="19" xfId="0" applyNumberFormat="1" applyFont="1" applyFill="1" applyBorder="1" applyAlignment="1">
      <alignment horizontal="center" vertical="center"/>
    </xf>
    <xf numFmtId="0" fontId="0" fillId="38" borderId="24" xfId="0" applyFill="1" applyBorder="1" applyAlignment="1">
      <alignment vertical="center"/>
    </xf>
    <xf numFmtId="0" fontId="0" fillId="43" borderId="23" xfId="0" applyFill="1" applyBorder="1" applyAlignment="1">
      <alignment vertical="center"/>
    </xf>
    <xf numFmtId="0" fontId="0" fillId="43" borderId="41" xfId="0" applyFill="1" applyBorder="1" applyAlignment="1">
      <alignment vertical="center"/>
    </xf>
    <xf numFmtId="0" fontId="0" fillId="43" borderId="32" xfId="0" applyFill="1" applyBorder="1" applyAlignment="1">
      <alignment vertical="center"/>
    </xf>
    <xf numFmtId="0" fontId="0" fillId="42" borderId="23" xfId="0" applyFill="1" applyBorder="1" applyAlignment="1">
      <alignment vertical="center"/>
    </xf>
    <xf numFmtId="0" fontId="0" fillId="42" borderId="41" xfId="0" applyFill="1" applyBorder="1" applyAlignment="1">
      <alignment vertical="center"/>
    </xf>
    <xf numFmtId="0" fontId="0" fillId="42" borderId="32" xfId="0" applyFill="1" applyBorder="1" applyAlignment="1">
      <alignment vertical="center"/>
    </xf>
    <xf numFmtId="0" fontId="0" fillId="38" borderId="41" xfId="0" applyFill="1" applyBorder="1" applyAlignment="1">
      <alignment vertical="center"/>
    </xf>
    <xf numFmtId="0" fontId="22" fillId="44" borderId="16" xfId="0" applyFont="1" applyFill="1" applyBorder="1" applyAlignment="1">
      <alignment horizontal="right" vertical="center"/>
    </xf>
    <xf numFmtId="0" fontId="17" fillId="37" borderId="26" xfId="0" applyFont="1" applyFill="1" applyBorder="1" applyAlignment="1">
      <alignment horizontal="center" vertical="center"/>
    </xf>
    <xf numFmtId="0" fontId="17" fillId="37" borderId="29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horizontal="center" vertical="center"/>
    </xf>
    <xf numFmtId="0" fontId="5" fillId="37" borderId="0" xfId="0" applyFont="1" applyFill="1" applyBorder="1" applyAlignment="1" quotePrefix="1">
      <alignment horizontal="center" vertical="center"/>
    </xf>
    <xf numFmtId="0" fontId="5" fillId="37" borderId="31" xfId="0" applyFont="1" applyFill="1" applyBorder="1" applyAlignment="1">
      <alignment horizontal="center" vertical="center"/>
    </xf>
    <xf numFmtId="0" fontId="11" fillId="37" borderId="41" xfId="0" applyFont="1" applyFill="1" applyBorder="1" applyAlignment="1">
      <alignment vertical="center"/>
    </xf>
    <xf numFmtId="0" fontId="11" fillId="37" borderId="41" xfId="0" applyFont="1" applyFill="1" applyBorder="1" applyAlignment="1">
      <alignment horizontal="center" vertical="center"/>
    </xf>
    <xf numFmtId="0" fontId="5" fillId="37" borderId="41" xfId="0" applyFont="1" applyFill="1" applyBorder="1" applyAlignment="1" quotePrefix="1">
      <alignment horizontal="center" vertical="center"/>
    </xf>
    <xf numFmtId="0" fontId="5" fillId="37" borderId="32" xfId="0" applyFont="1" applyFill="1" applyBorder="1" applyAlignment="1">
      <alignment horizontal="center" vertical="center"/>
    </xf>
    <xf numFmtId="0" fontId="34" fillId="37" borderId="26" xfId="0" applyFont="1" applyFill="1" applyBorder="1" applyAlignment="1">
      <alignment horizontal="center" vertical="center"/>
    </xf>
    <xf numFmtId="0" fontId="33" fillId="41" borderId="17" xfId="0" applyFont="1" applyFill="1" applyBorder="1" applyAlignment="1">
      <alignment horizontal="left" vertical="center" indent="1"/>
    </xf>
    <xf numFmtId="2" fontId="35" fillId="41" borderId="16" xfId="0" applyNumberFormat="1" applyFont="1" applyFill="1" applyBorder="1" applyAlignment="1">
      <alignment horizontal="center" vertical="center"/>
    </xf>
    <xf numFmtId="0" fontId="3" fillId="41" borderId="16" xfId="0" applyFont="1" applyFill="1" applyBorder="1" applyAlignment="1">
      <alignment horizontal="center" vertical="center"/>
    </xf>
    <xf numFmtId="0" fontId="37" fillId="41" borderId="16" xfId="0" applyFont="1" applyFill="1" applyBorder="1" applyAlignment="1">
      <alignment horizontal="center" vertical="center"/>
    </xf>
    <xf numFmtId="0" fontId="29" fillId="39" borderId="16" xfId="0" applyFont="1" applyFill="1" applyBorder="1" applyAlignment="1" applyProtection="1">
      <alignment horizontal="center" vertical="center"/>
      <protection locked="0"/>
    </xf>
    <xf numFmtId="0" fontId="29" fillId="43" borderId="0" xfId="0" applyFont="1" applyFill="1" applyBorder="1" applyAlignment="1">
      <alignment horizontal="right" vertical="center"/>
    </xf>
    <xf numFmtId="0" fontId="29" fillId="43" borderId="30" xfId="0" applyFont="1" applyFill="1" applyBorder="1" applyAlignment="1">
      <alignment horizontal="center" vertical="center"/>
    </xf>
    <xf numFmtId="0" fontId="11" fillId="43" borderId="0" xfId="0" applyFont="1" applyFill="1" applyBorder="1" applyAlignment="1">
      <alignment vertical="center"/>
    </xf>
    <xf numFmtId="0" fontId="0" fillId="0" borderId="0" xfId="0" applyAlignment="1">
      <alignment horizontal="left" indent="1"/>
    </xf>
    <xf numFmtId="2" fontId="19" fillId="38" borderId="16" xfId="0" applyNumberFormat="1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0" fontId="22" fillId="44" borderId="16" xfId="0" applyFont="1" applyFill="1" applyBorder="1" applyAlignment="1">
      <alignment horizontal="center" vertical="center"/>
    </xf>
    <xf numFmtId="0" fontId="29" fillId="44" borderId="16" xfId="0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2" fontId="22" fillId="38" borderId="16" xfId="0" applyNumberFormat="1" applyFont="1" applyFill="1" applyBorder="1" applyAlignment="1">
      <alignment horizontal="center"/>
    </xf>
    <xf numFmtId="2" fontId="22" fillId="44" borderId="18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 applyProtection="1">
      <alignment horizontal="left"/>
      <protection locked="0"/>
    </xf>
    <xf numFmtId="2" fontId="0" fillId="33" borderId="0" xfId="0" applyNumberFormat="1" applyFill="1" applyBorder="1" applyAlignment="1" applyProtection="1">
      <alignment horizontal="left"/>
      <protection/>
    </xf>
    <xf numFmtId="2" fontId="0" fillId="33" borderId="0" xfId="0" applyNumberFormat="1" applyFill="1" applyBorder="1" applyAlignment="1" applyProtection="1">
      <alignment horizontal="center"/>
      <protection/>
    </xf>
    <xf numFmtId="2" fontId="0" fillId="33" borderId="0" xfId="0" applyNumberFormat="1" applyFont="1" applyFill="1" applyBorder="1" applyAlignment="1" applyProtection="1">
      <alignment horizontal="left"/>
      <protection/>
    </xf>
    <xf numFmtId="0" fontId="4" fillId="42" borderId="42" xfId="0" applyFont="1" applyFill="1" applyBorder="1" applyAlignment="1">
      <alignment horizontal="right"/>
    </xf>
    <xf numFmtId="2" fontId="5" fillId="42" borderId="43" xfId="0" applyNumberFormat="1" applyFont="1" applyFill="1" applyBorder="1" applyAlignment="1" applyProtection="1">
      <alignment horizontal="centerContinuous"/>
      <protection/>
    </xf>
    <xf numFmtId="0" fontId="10" fillId="33" borderId="0" xfId="0" applyFont="1" applyFill="1" applyBorder="1" applyAlignment="1">
      <alignment horizontal="right"/>
    </xf>
    <xf numFmtId="0" fontId="22" fillId="42" borderId="16" xfId="0" applyFont="1" applyFill="1" applyBorder="1" applyAlignment="1">
      <alignment horizontal="center"/>
    </xf>
    <xf numFmtId="0" fontId="22" fillId="42" borderId="17" xfId="0" applyFont="1" applyFill="1" applyBorder="1" applyAlignment="1">
      <alignment horizontal="center"/>
    </xf>
    <xf numFmtId="0" fontId="4" fillId="42" borderId="42" xfId="0" applyFont="1" applyFill="1" applyBorder="1" applyAlignment="1">
      <alignment horizontal="left"/>
    </xf>
    <xf numFmtId="0" fontId="29" fillId="41" borderId="13" xfId="0" applyFont="1" applyFill="1" applyBorder="1" applyAlignment="1" applyProtection="1">
      <alignment horizontal="left" indent="1"/>
      <protection/>
    </xf>
    <xf numFmtId="2" fontId="29" fillId="41" borderId="13" xfId="0" applyNumberFormat="1" applyFont="1" applyFill="1" applyBorder="1" applyAlignment="1" applyProtection="1">
      <alignment horizontal="center"/>
      <protection/>
    </xf>
    <xf numFmtId="2" fontId="0" fillId="33" borderId="0" xfId="0" applyNumberFormat="1" applyFont="1" applyFill="1" applyBorder="1" applyAlignment="1" applyProtection="1">
      <alignment horizontal="left"/>
      <protection/>
    </xf>
    <xf numFmtId="2" fontId="10" fillId="33" borderId="0" xfId="0" applyNumberFormat="1" applyFont="1" applyFill="1" applyBorder="1" applyAlignment="1" applyProtection="1">
      <alignment horizontal="centerContinuous"/>
      <protection/>
    </xf>
    <xf numFmtId="2" fontId="22" fillId="40" borderId="16" xfId="0" applyNumberFormat="1" applyFont="1" applyFill="1" applyBorder="1" applyAlignment="1">
      <alignment horizontal="center"/>
    </xf>
    <xf numFmtId="0" fontId="29" fillId="40" borderId="17" xfId="0" applyFont="1" applyFill="1" applyBorder="1" applyAlignment="1" applyProtection="1">
      <alignment horizontal="left" indent="1"/>
      <protection/>
    </xf>
    <xf numFmtId="0" fontId="19" fillId="36" borderId="17" xfId="0" applyFont="1" applyFill="1" applyBorder="1" applyAlignment="1" applyProtection="1">
      <alignment horizontal="left" indent="1"/>
      <protection/>
    </xf>
    <xf numFmtId="2" fontId="19" fillId="36" borderId="16" xfId="0" applyNumberFormat="1" applyFont="1" applyFill="1" applyBorder="1" applyAlignment="1" applyProtection="1">
      <alignment horizontal="center"/>
      <protection/>
    </xf>
    <xf numFmtId="0" fontId="0" fillId="37" borderId="11" xfId="0" applyFont="1" applyFill="1" applyBorder="1" applyAlignment="1" applyProtection="1">
      <alignment horizontal="left" indent="1"/>
      <protection/>
    </xf>
    <xf numFmtId="2" fontId="0" fillId="37" borderId="11" xfId="0" applyNumberFormat="1" applyFont="1" applyFill="1" applyBorder="1" applyAlignment="1" applyProtection="1">
      <alignment horizontal="centerContinuous"/>
      <protection/>
    </xf>
    <xf numFmtId="0" fontId="0" fillId="37" borderId="15" xfId="0" applyFont="1" applyFill="1" applyBorder="1" applyAlignment="1" applyProtection="1">
      <alignment horizontal="left" indent="1"/>
      <protection/>
    </xf>
    <xf numFmtId="2" fontId="0" fillId="37" borderId="15" xfId="0" applyNumberFormat="1" applyFont="1" applyFill="1" applyBorder="1" applyAlignment="1" applyProtection="1">
      <alignment horizontal="centerContinuous"/>
      <protection/>
    </xf>
    <xf numFmtId="2" fontId="0" fillId="37" borderId="12" xfId="0" applyNumberFormat="1" applyFont="1" applyFill="1" applyBorder="1" applyAlignment="1" applyProtection="1">
      <alignment horizontal="center"/>
      <protection/>
    </xf>
    <xf numFmtId="177" fontId="0" fillId="37" borderId="11" xfId="0" applyNumberFormat="1" applyFont="1" applyFill="1" applyBorder="1" applyAlignment="1" applyProtection="1">
      <alignment horizontal="center"/>
      <protection/>
    </xf>
    <xf numFmtId="177" fontId="0" fillId="37" borderId="27" xfId="0" applyNumberFormat="1" applyFont="1" applyFill="1" applyBorder="1" applyAlignment="1" applyProtection="1">
      <alignment horizontal="center"/>
      <protection/>
    </xf>
    <xf numFmtId="2" fontId="0" fillId="37" borderId="19" xfId="0" applyNumberFormat="1" applyFont="1" applyFill="1" applyBorder="1" applyAlignment="1" applyProtection="1">
      <alignment horizontal="center"/>
      <protection/>
    </xf>
    <xf numFmtId="0" fontId="0" fillId="37" borderId="12" xfId="0" applyFont="1" applyFill="1" applyBorder="1" applyAlignment="1" applyProtection="1">
      <alignment horizontal="left" indent="1"/>
      <protection/>
    </xf>
    <xf numFmtId="2" fontId="0" fillId="37" borderId="12" xfId="0" applyNumberFormat="1" applyFont="1" applyFill="1" applyBorder="1" applyAlignment="1" applyProtection="1">
      <alignment horizontal="centerContinuous"/>
      <protection/>
    </xf>
    <xf numFmtId="0" fontId="0" fillId="33" borderId="0" xfId="0" applyFill="1" applyAlignment="1">
      <alignment horizontal="left"/>
    </xf>
    <xf numFmtId="0" fontId="1" fillId="37" borderId="30" xfId="0" applyFont="1" applyFill="1" applyBorder="1" applyAlignment="1" applyProtection="1">
      <alignment horizontal="left"/>
      <protection/>
    </xf>
    <xf numFmtId="0" fontId="39" fillId="42" borderId="0" xfId="0" applyFont="1" applyFill="1" applyBorder="1" applyAlignment="1" applyProtection="1">
      <alignment horizontal="centerContinuous"/>
      <protection/>
    </xf>
    <xf numFmtId="0" fontId="40" fillId="42" borderId="0" xfId="0" applyFont="1" applyFill="1" applyBorder="1" applyAlignment="1" applyProtection="1">
      <alignment horizontal="centerContinuous"/>
      <protection/>
    </xf>
    <xf numFmtId="0" fontId="40" fillId="42" borderId="0" xfId="0" applyFont="1" applyFill="1" applyBorder="1" applyAlignment="1" applyProtection="1">
      <alignment horizontal="center"/>
      <protection/>
    </xf>
    <xf numFmtId="176" fontId="11" fillId="37" borderId="27" xfId="0" applyNumberFormat="1" applyFont="1" applyFill="1" applyBorder="1" applyAlignment="1" applyProtection="1">
      <alignment horizontal="centerContinuous"/>
      <protection/>
    </xf>
    <xf numFmtId="0" fontId="5" fillId="38" borderId="16" xfId="0" applyFont="1" applyFill="1" applyBorder="1" applyAlignment="1">
      <alignment/>
    </xf>
    <xf numFmtId="2" fontId="5" fillId="38" borderId="16" xfId="0" applyNumberFormat="1" applyFont="1" applyFill="1" applyBorder="1" applyAlignment="1">
      <alignment horizontal="center"/>
    </xf>
    <xf numFmtId="0" fontId="4" fillId="39" borderId="10" xfId="0" applyFont="1" applyFill="1" applyBorder="1" applyAlignment="1" applyProtection="1">
      <alignment horizontal="centerContinuous"/>
      <protection locked="0"/>
    </xf>
    <xf numFmtId="0" fontId="4" fillId="39" borderId="12" xfId="0" applyFont="1" applyFill="1" applyBorder="1" applyAlignment="1" applyProtection="1">
      <alignment horizontal="centerContinuous"/>
      <protection locked="0"/>
    </xf>
    <xf numFmtId="0" fontId="4" fillId="39" borderId="24" xfId="0" applyFont="1" applyFill="1" applyBorder="1" applyAlignment="1" applyProtection="1">
      <alignment horizontal="centerContinuous"/>
      <protection locked="0"/>
    </xf>
    <xf numFmtId="0" fontId="1" fillId="36" borderId="34" xfId="0" applyFont="1" applyFill="1" applyBorder="1" applyAlignment="1" applyProtection="1">
      <alignment horizontal="left"/>
      <protection/>
    </xf>
    <xf numFmtId="2" fontId="4" fillId="39" borderId="19" xfId="0" applyNumberFormat="1" applyFont="1" applyFill="1" applyBorder="1" applyAlignment="1" applyProtection="1">
      <alignment horizontal="centerContinuous"/>
      <protection locked="0"/>
    </xf>
    <xf numFmtId="2" fontId="0" fillId="37" borderId="44" xfId="0" applyNumberFormat="1" applyFill="1" applyBorder="1" applyAlignment="1">
      <alignment horizontal="center"/>
    </xf>
    <xf numFmtId="2" fontId="0" fillId="37" borderId="45" xfId="0" applyNumberForma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9" xfId="0" applyFill="1" applyBorder="1" applyAlignment="1">
      <alignment/>
    </xf>
    <xf numFmtId="0" fontId="42" fillId="42" borderId="0" xfId="0" applyFont="1" applyFill="1" applyAlignment="1" applyProtection="1">
      <alignment horizontal="center"/>
      <protection/>
    </xf>
    <xf numFmtId="0" fontId="2" fillId="42" borderId="0" xfId="0" applyFont="1" applyFill="1" applyAlignment="1">
      <alignment horizontal="center"/>
    </xf>
    <xf numFmtId="2" fontId="41" fillId="42" borderId="0" xfId="0" applyNumberFormat="1" applyFont="1" applyFill="1" applyAlignment="1" applyProtection="1">
      <alignment horizontal="right"/>
      <protection/>
    </xf>
    <xf numFmtId="0" fontId="28" fillId="0" borderId="0" xfId="0" applyFont="1" applyAlignment="1" applyProtection="1">
      <alignment horizontal="center"/>
      <protection/>
    </xf>
    <xf numFmtId="2" fontId="11" fillId="33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Alignment="1">
      <alignment horizontal="center"/>
    </xf>
    <xf numFmtId="2" fontId="4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19" fillId="36" borderId="16" xfId="0" applyFont="1" applyFill="1" applyBorder="1" applyAlignment="1" applyProtection="1">
      <alignment horizontal="left" indent="1"/>
      <protection/>
    </xf>
    <xf numFmtId="180" fontId="19" fillId="38" borderId="16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2" fontId="10" fillId="38" borderId="10" xfId="0" applyNumberFormat="1" applyFont="1" applyFill="1" applyBorder="1" applyAlignment="1" applyProtection="1">
      <alignment horizontal="centerContinuous"/>
      <protection/>
    </xf>
    <xf numFmtId="0" fontId="0" fillId="0" borderId="0" xfId="0" applyAlignment="1">
      <alignment horizontal="left"/>
    </xf>
    <xf numFmtId="2" fontId="5" fillId="42" borderId="43" xfId="0" applyNumberFormat="1" applyFont="1" applyFill="1" applyBorder="1" applyAlignment="1" applyProtection="1">
      <alignment horizontal="center"/>
      <protection/>
    </xf>
    <xf numFmtId="0" fontId="4" fillId="42" borderId="42" xfId="0" applyFont="1" applyFill="1" applyBorder="1" applyAlignment="1" applyProtection="1">
      <alignment horizontal="right"/>
      <protection/>
    </xf>
    <xf numFmtId="2" fontId="4" fillId="33" borderId="0" xfId="0" applyNumberFormat="1" applyFont="1" applyFill="1" applyBorder="1" applyAlignment="1" applyProtection="1">
      <alignment horizontal="center"/>
      <protection/>
    </xf>
    <xf numFmtId="2" fontId="4" fillId="33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2" fontId="10" fillId="33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0" fillId="41" borderId="14" xfId="0" applyFont="1" applyFill="1" applyBorder="1" applyAlignment="1">
      <alignment/>
    </xf>
    <xf numFmtId="2" fontId="1" fillId="41" borderId="14" xfId="0" applyNumberFormat="1" applyFont="1" applyFill="1" applyBorder="1" applyAlignment="1">
      <alignment horizontal="center"/>
    </xf>
    <xf numFmtId="0" fontId="29" fillId="39" borderId="16" xfId="0" applyFont="1" applyFill="1" applyBorder="1" applyAlignment="1">
      <alignment horizontal="left" indent="1"/>
    </xf>
    <xf numFmtId="0" fontId="41" fillId="38" borderId="16" xfId="0" applyFont="1" applyFill="1" applyBorder="1" applyAlignment="1" applyProtection="1">
      <alignment horizontal="left" indent="1"/>
      <protection/>
    </xf>
    <xf numFmtId="2" fontId="41" fillId="38" borderId="16" xfId="0" applyNumberFormat="1" applyFont="1" applyFill="1" applyBorder="1" applyAlignment="1" applyProtection="1">
      <alignment horizontal="centerContinuous"/>
      <protection/>
    </xf>
    <xf numFmtId="0" fontId="4" fillId="36" borderId="27" xfId="0" applyFont="1" applyFill="1" applyBorder="1" applyAlignment="1" applyProtection="1">
      <alignment horizontal="left" indent="1"/>
      <protection/>
    </xf>
    <xf numFmtId="0" fontId="41" fillId="38" borderId="13" xfId="0" applyFont="1" applyFill="1" applyBorder="1" applyAlignment="1" applyProtection="1">
      <alignment horizontal="left" indent="1"/>
      <protection/>
    </xf>
    <xf numFmtId="2" fontId="41" fillId="38" borderId="13" xfId="0" applyNumberFormat="1" applyFont="1" applyFill="1" applyBorder="1" applyAlignment="1" applyProtection="1">
      <alignment horizontal="centerContinuous"/>
      <protection/>
    </xf>
    <xf numFmtId="0" fontId="22" fillId="40" borderId="17" xfId="0" applyFont="1" applyFill="1" applyBorder="1" applyAlignment="1">
      <alignment horizontal="centerContinuous"/>
    </xf>
    <xf numFmtId="0" fontId="22" fillId="40" borderId="18" xfId="0" applyFont="1" applyFill="1" applyBorder="1" applyAlignment="1">
      <alignment horizontal="centerContinuous"/>
    </xf>
    <xf numFmtId="0" fontId="4" fillId="36" borderId="15" xfId="0" applyFont="1" applyFill="1" applyBorder="1" applyAlignment="1" applyProtection="1">
      <alignment horizontal="left" indent="1"/>
      <protection/>
    </xf>
    <xf numFmtId="2" fontId="10" fillId="38" borderId="15" xfId="0" applyNumberFormat="1" applyFont="1" applyFill="1" applyBorder="1" applyAlignment="1" applyProtection="1">
      <alignment horizontal="centerContinuous"/>
      <protection/>
    </xf>
    <xf numFmtId="0" fontId="10" fillId="42" borderId="16" xfId="0" applyFont="1" applyFill="1" applyBorder="1" applyAlignment="1" applyProtection="1">
      <alignment horizontal="left" indent="1"/>
      <protection/>
    </xf>
    <xf numFmtId="2" fontId="10" fillId="42" borderId="16" xfId="0" applyNumberFormat="1" applyFont="1" applyFill="1" applyBorder="1" applyAlignment="1" applyProtection="1">
      <alignment horizontal="center"/>
      <protection/>
    </xf>
    <xf numFmtId="0" fontId="4" fillId="42" borderId="16" xfId="0" applyFont="1" applyFill="1" applyBorder="1" applyAlignment="1" applyProtection="1">
      <alignment horizontal="left" indent="1"/>
      <protection/>
    </xf>
    <xf numFmtId="2" fontId="4" fillId="42" borderId="16" xfId="0" applyNumberFormat="1" applyFont="1" applyFill="1" applyBorder="1" applyAlignment="1" applyProtection="1">
      <alignment horizontal="center"/>
      <protection/>
    </xf>
    <xf numFmtId="0" fontId="4" fillId="42" borderId="11" xfId="0" applyFont="1" applyFill="1" applyBorder="1" applyAlignment="1" applyProtection="1">
      <alignment horizontal="left" indent="1"/>
      <protection/>
    </xf>
    <xf numFmtId="2" fontId="4" fillId="42" borderId="11" xfId="0" applyNumberFormat="1" applyFont="1" applyFill="1" applyBorder="1" applyAlignment="1" applyProtection="1">
      <alignment horizontal="center"/>
      <protection/>
    </xf>
    <xf numFmtId="0" fontId="35" fillId="39" borderId="18" xfId="0" applyFont="1" applyFill="1" applyBorder="1" applyAlignment="1" applyProtection="1">
      <alignment horizontal="centerContinuous"/>
      <protection locked="0"/>
    </xf>
    <xf numFmtId="2" fontId="35" fillId="39" borderId="16" xfId="0" applyNumberFormat="1" applyFont="1" applyFill="1" applyBorder="1" applyAlignment="1" applyProtection="1">
      <alignment horizontal="centerContinuous"/>
      <protection locked="0"/>
    </xf>
    <xf numFmtId="0" fontId="35" fillId="39" borderId="16" xfId="0" applyFont="1" applyFill="1" applyBorder="1" applyAlignment="1" applyProtection="1">
      <alignment horizontal="centerContinuous"/>
      <protection locked="0"/>
    </xf>
    <xf numFmtId="2" fontId="10" fillId="38" borderId="46" xfId="0" applyNumberFormat="1" applyFont="1" applyFill="1" applyBorder="1" applyAlignment="1" applyProtection="1">
      <alignment horizontal="centerContinuous"/>
      <protection/>
    </xf>
    <xf numFmtId="2" fontId="10" fillId="38" borderId="18" xfId="0" applyNumberFormat="1" applyFont="1" applyFill="1" applyBorder="1" applyAlignment="1" applyProtection="1">
      <alignment horizontal="centerContinuous"/>
      <protection/>
    </xf>
    <xf numFmtId="2" fontId="0" fillId="37" borderId="44" xfId="0" applyNumberFormat="1" applyFont="1" applyFill="1" applyBorder="1" applyAlignment="1" applyProtection="1">
      <alignment horizontal="centerContinuous"/>
      <protection/>
    </xf>
    <xf numFmtId="2" fontId="0" fillId="37" borderId="45" xfId="0" applyNumberFormat="1" applyFont="1" applyFill="1" applyBorder="1" applyAlignment="1" applyProtection="1">
      <alignment horizontal="centerContinuous"/>
      <protection/>
    </xf>
    <xf numFmtId="2" fontId="0" fillId="37" borderId="47" xfId="0" applyNumberFormat="1" applyFont="1" applyFill="1" applyBorder="1" applyAlignment="1" applyProtection="1">
      <alignment horizontal="centerContinuous"/>
      <protection/>
    </xf>
    <xf numFmtId="0" fontId="0" fillId="37" borderId="19" xfId="0" applyFont="1" applyFill="1" applyBorder="1" applyAlignment="1" applyProtection="1">
      <alignment horizontal="left" indent="1"/>
      <protection/>
    </xf>
    <xf numFmtId="2" fontId="41" fillId="38" borderId="16" xfId="0" applyNumberFormat="1" applyFont="1" applyFill="1" applyBorder="1" applyAlignment="1" applyProtection="1">
      <alignment horizontal="center"/>
      <protection/>
    </xf>
    <xf numFmtId="0" fontId="33" fillId="41" borderId="13" xfId="0" applyFont="1" applyFill="1" applyBorder="1" applyAlignment="1" applyProtection="1">
      <alignment horizontal="left" indent="1"/>
      <protection/>
    </xf>
    <xf numFmtId="2" fontId="33" fillId="41" borderId="13" xfId="0" applyNumberFormat="1" applyFont="1" applyFill="1" applyBorder="1" applyAlignment="1" applyProtection="1">
      <alignment horizontal="center"/>
      <protection/>
    </xf>
    <xf numFmtId="0" fontId="22" fillId="42" borderId="17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35" fillId="39" borderId="18" xfId="0" applyFont="1" applyFill="1" applyBorder="1" applyAlignment="1" applyProtection="1">
      <alignment horizontal="center"/>
      <protection locked="0"/>
    </xf>
    <xf numFmtId="0" fontId="33" fillId="39" borderId="16" xfId="0" applyFont="1" applyFill="1" applyBorder="1" applyAlignment="1" applyProtection="1">
      <alignment horizontal="left" indent="1"/>
      <protection/>
    </xf>
    <xf numFmtId="2" fontId="35" fillId="39" borderId="16" xfId="0" applyNumberFormat="1" applyFont="1" applyFill="1" applyBorder="1" applyAlignment="1" applyProtection="1">
      <alignment horizontal="center"/>
      <protection locked="0"/>
    </xf>
    <xf numFmtId="2" fontId="35" fillId="39" borderId="42" xfId="0" applyNumberFormat="1" applyFont="1" applyFill="1" applyBorder="1" applyAlignment="1" applyProtection="1">
      <alignment horizontal="center"/>
      <protection locked="0"/>
    </xf>
    <xf numFmtId="2" fontId="35" fillId="39" borderId="14" xfId="0" applyNumberFormat="1" applyFont="1" applyFill="1" applyBorder="1" applyAlignment="1" applyProtection="1">
      <alignment horizontal="center"/>
      <protection locked="0"/>
    </xf>
    <xf numFmtId="2" fontId="0" fillId="37" borderId="48" xfId="0" applyNumberFormat="1" applyFill="1" applyBorder="1" applyAlignment="1">
      <alignment horizontal="center"/>
    </xf>
    <xf numFmtId="0" fontId="10" fillId="39" borderId="16" xfId="0" applyFont="1" applyFill="1" applyBorder="1" applyAlignment="1" applyProtection="1">
      <alignment horizontal="left" indent="1"/>
      <protection/>
    </xf>
    <xf numFmtId="0" fontId="1" fillId="33" borderId="0" xfId="0" applyFont="1" applyFill="1" applyBorder="1" applyAlignment="1">
      <alignment horizontal="right"/>
    </xf>
    <xf numFmtId="0" fontId="10" fillId="44" borderId="11" xfId="0" applyFont="1" applyFill="1" applyBorder="1" applyAlignment="1" applyProtection="1">
      <alignment vertical="center"/>
      <protection/>
    </xf>
    <xf numFmtId="2" fontId="10" fillId="44" borderId="11" xfId="59" applyNumberFormat="1" applyFont="1" applyFill="1" applyBorder="1" applyAlignment="1" applyProtection="1">
      <alignment horizontal="center" vertical="center"/>
      <protection/>
    </xf>
    <xf numFmtId="2" fontId="10" fillId="44" borderId="11" xfId="0" applyNumberFormat="1" applyFont="1" applyFill="1" applyBorder="1" applyAlignment="1" applyProtection="1">
      <alignment horizontal="centerContinuous" vertical="center"/>
      <protection/>
    </xf>
    <xf numFmtId="0" fontId="5" fillId="38" borderId="16" xfId="0" applyFont="1" applyFill="1" applyBorder="1" applyAlignment="1" applyProtection="1">
      <alignment vertical="center"/>
      <protection/>
    </xf>
    <xf numFmtId="2" fontId="4" fillId="39" borderId="16" xfId="0" applyNumberFormat="1" applyFont="1" applyFill="1" applyBorder="1" applyAlignment="1" applyProtection="1">
      <alignment horizontal="centerContinuous" vertical="center"/>
      <protection locked="0"/>
    </xf>
    <xf numFmtId="0" fontId="1" fillId="41" borderId="24" xfId="0" applyFont="1" applyFill="1" applyBorder="1" applyAlignment="1" applyProtection="1">
      <alignment vertical="center"/>
      <protection/>
    </xf>
    <xf numFmtId="2" fontId="1" fillId="41" borderId="24" xfId="0" applyNumberFormat="1" applyFont="1" applyFill="1" applyBorder="1" applyAlignment="1" applyProtection="1">
      <alignment horizontal="center" vertical="center"/>
      <protection/>
    </xf>
    <xf numFmtId="2" fontId="4" fillId="39" borderId="11" xfId="0" applyNumberFormat="1" applyFont="1" applyFill="1" applyBorder="1" applyAlignment="1" applyProtection="1">
      <alignment horizontal="centerContinuous" vertical="center"/>
      <protection locked="0"/>
    </xf>
    <xf numFmtId="0" fontId="40" fillId="42" borderId="0" xfId="0" applyFont="1" applyFill="1" applyBorder="1" applyAlignment="1" applyProtection="1">
      <alignment horizontal="centerContinuous" vertical="center"/>
      <protection/>
    </xf>
    <xf numFmtId="0" fontId="29" fillId="44" borderId="17" xfId="0" applyFont="1" applyFill="1" applyBorder="1" applyAlignment="1">
      <alignment horizontal="right" vertical="center"/>
    </xf>
    <xf numFmtId="2" fontId="29" fillId="44" borderId="18" xfId="0" applyNumberFormat="1" applyFont="1" applyFill="1" applyBorder="1" applyAlignment="1">
      <alignment horizontal="left" vertical="center"/>
    </xf>
    <xf numFmtId="0" fontId="1" fillId="37" borderId="17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9" fillId="38" borderId="17" xfId="0" applyFont="1" applyFill="1" applyBorder="1" applyAlignment="1">
      <alignment horizontal="left" vertical="center"/>
    </xf>
    <xf numFmtId="0" fontId="19" fillId="38" borderId="28" xfId="0" applyFont="1" applyFill="1" applyBorder="1" applyAlignment="1">
      <alignment horizontal="left" vertical="center"/>
    </xf>
    <xf numFmtId="0" fontId="19" fillId="38" borderId="18" xfId="0" applyFont="1" applyFill="1" applyBorder="1" applyAlignment="1">
      <alignment horizontal="left" vertical="center"/>
    </xf>
    <xf numFmtId="0" fontId="26" fillId="0" borderId="21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26" fillId="0" borderId="33" xfId="0" applyFont="1" applyBorder="1" applyAlignment="1">
      <alignment horizontal="left"/>
    </xf>
    <xf numFmtId="0" fontId="26" fillId="0" borderId="36" xfId="0" applyFont="1" applyBorder="1" applyAlignment="1">
      <alignment horizontal="left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8" fillId="0" borderId="0" xfId="0" applyFont="1" applyAlignment="1" applyProtection="1">
      <alignment horizontal="center"/>
      <protection/>
    </xf>
    <xf numFmtId="0" fontId="22" fillId="42" borderId="25" xfId="0" applyFont="1" applyFill="1" applyBorder="1" applyAlignment="1">
      <alignment horizontal="center" vertical="center"/>
    </xf>
    <xf numFmtId="0" fontId="22" fillId="42" borderId="26" xfId="0" applyFont="1" applyFill="1" applyBorder="1" applyAlignment="1">
      <alignment horizontal="center" vertical="center"/>
    </xf>
    <xf numFmtId="0" fontId="22" fillId="42" borderId="29" xfId="0" applyFont="1" applyFill="1" applyBorder="1" applyAlignment="1">
      <alignment horizontal="center" vertical="center"/>
    </xf>
    <xf numFmtId="0" fontId="16" fillId="40" borderId="17" xfId="0" applyFont="1" applyFill="1" applyBorder="1" applyAlignment="1">
      <alignment horizontal="center" vertical="center"/>
    </xf>
    <xf numFmtId="0" fontId="16" fillId="40" borderId="18" xfId="0" applyFont="1" applyFill="1" applyBorder="1" applyAlignment="1">
      <alignment horizontal="center" vertical="center"/>
    </xf>
    <xf numFmtId="0" fontId="29" fillId="41" borderId="28" xfId="0" applyFont="1" applyFill="1" applyBorder="1" applyAlignment="1">
      <alignment horizontal="center" vertical="center"/>
    </xf>
    <xf numFmtId="0" fontId="29" fillId="41" borderId="18" xfId="0" applyFont="1" applyFill="1" applyBorder="1" applyAlignment="1">
      <alignment horizontal="center" vertical="center"/>
    </xf>
    <xf numFmtId="0" fontId="29" fillId="44" borderId="17" xfId="0" applyFont="1" applyFill="1" applyBorder="1" applyAlignment="1">
      <alignment horizontal="center" vertical="center"/>
    </xf>
    <xf numFmtId="0" fontId="29" fillId="44" borderId="28" xfId="0" applyFont="1" applyFill="1" applyBorder="1" applyAlignment="1">
      <alignment horizontal="center" vertical="center"/>
    </xf>
    <xf numFmtId="0" fontId="29" fillId="44" borderId="18" xfId="0" applyFont="1" applyFill="1" applyBorder="1" applyAlignment="1">
      <alignment horizontal="center" vertical="center"/>
    </xf>
    <xf numFmtId="0" fontId="22" fillId="44" borderId="17" xfId="0" applyFont="1" applyFill="1" applyBorder="1" applyAlignment="1">
      <alignment horizontal="center" vertical="center"/>
    </xf>
    <xf numFmtId="0" fontId="22" fillId="44" borderId="18" xfId="0" applyFont="1" applyFill="1" applyBorder="1" applyAlignment="1">
      <alignment horizontal="center" vertical="center"/>
    </xf>
    <xf numFmtId="0" fontId="38" fillId="42" borderId="17" xfId="0" applyFont="1" applyFill="1" applyBorder="1" applyAlignment="1">
      <alignment horizontal="center" vertical="center"/>
    </xf>
    <xf numFmtId="0" fontId="38" fillId="42" borderId="28" xfId="0" applyFont="1" applyFill="1" applyBorder="1" applyAlignment="1">
      <alignment horizontal="center" vertical="center"/>
    </xf>
    <xf numFmtId="0" fontId="38" fillId="42" borderId="1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2" fontId="22" fillId="44" borderId="17" xfId="0" applyNumberFormat="1" applyFont="1" applyFill="1" applyBorder="1" applyAlignment="1">
      <alignment horizontal="center" vertical="center"/>
    </xf>
    <xf numFmtId="2" fontId="22" fillId="44" borderId="18" xfId="0" applyNumberFormat="1" applyFont="1" applyFill="1" applyBorder="1" applyAlignment="1">
      <alignment horizontal="center" vertical="center"/>
    </xf>
    <xf numFmtId="2" fontId="29" fillId="44" borderId="17" xfId="0" applyNumberFormat="1" applyFont="1" applyFill="1" applyBorder="1" applyAlignment="1">
      <alignment horizontal="center" vertical="center"/>
    </xf>
    <xf numFmtId="2" fontId="29" fillId="44" borderId="1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2" fillId="41" borderId="17" xfId="0" applyFont="1" applyFill="1" applyBorder="1" applyAlignment="1">
      <alignment horizontal="center" vertical="center"/>
    </xf>
    <xf numFmtId="0" fontId="22" fillId="41" borderId="28" xfId="0" applyFont="1" applyFill="1" applyBorder="1" applyAlignment="1">
      <alignment horizontal="center" vertical="center"/>
    </xf>
    <xf numFmtId="0" fontId="22" fillId="41" borderId="18" xfId="0" applyFont="1" applyFill="1" applyBorder="1" applyAlignment="1">
      <alignment horizontal="center" vertical="center"/>
    </xf>
    <xf numFmtId="0" fontId="22" fillId="40" borderId="17" xfId="0" applyFont="1" applyFill="1" applyBorder="1" applyAlignment="1">
      <alignment horizontal="center" vertical="center"/>
    </xf>
    <xf numFmtId="0" fontId="22" fillId="40" borderId="28" xfId="0" applyFont="1" applyFill="1" applyBorder="1" applyAlignment="1">
      <alignment horizontal="center" vertical="center"/>
    </xf>
    <xf numFmtId="0" fontId="22" fillId="40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14</xdr:row>
      <xdr:rowOff>9525</xdr:rowOff>
    </xdr:from>
    <xdr:to>
      <xdr:col>8</xdr:col>
      <xdr:colOff>76200</xdr:colOff>
      <xdr:row>14</xdr:row>
      <xdr:rowOff>9525</xdr:rowOff>
    </xdr:to>
    <xdr:sp>
      <xdr:nvSpPr>
        <xdr:cNvPr id="1" name="Line 4"/>
        <xdr:cNvSpPr>
          <a:spLocks/>
        </xdr:cNvSpPr>
      </xdr:nvSpPr>
      <xdr:spPr>
        <a:xfrm flipH="1">
          <a:off x="7162800" y="24669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152400</xdr:colOff>
      <xdr:row>14</xdr:row>
      <xdr:rowOff>38100</xdr:rowOff>
    </xdr:from>
    <xdr:to>
      <xdr:col>9</xdr:col>
      <xdr:colOff>0</xdr:colOff>
      <xdr:row>14</xdr:row>
      <xdr:rowOff>38100</xdr:rowOff>
    </xdr:to>
    <xdr:sp>
      <xdr:nvSpPr>
        <xdr:cNvPr id="2" name="Line 12"/>
        <xdr:cNvSpPr>
          <a:spLocks/>
        </xdr:cNvSpPr>
      </xdr:nvSpPr>
      <xdr:spPr>
        <a:xfrm>
          <a:off x="7248525" y="2495550"/>
          <a:ext cx="44767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17</xdr:row>
      <xdr:rowOff>47625</xdr:rowOff>
    </xdr:from>
    <xdr:to>
      <xdr:col>8</xdr:col>
      <xdr:colOff>581025</xdr:colOff>
      <xdr:row>17</xdr:row>
      <xdr:rowOff>47625</xdr:rowOff>
    </xdr:to>
    <xdr:sp>
      <xdr:nvSpPr>
        <xdr:cNvPr id="3" name="Line 13"/>
        <xdr:cNvSpPr>
          <a:spLocks/>
        </xdr:cNvSpPr>
      </xdr:nvSpPr>
      <xdr:spPr>
        <a:xfrm>
          <a:off x="7124700" y="3038475"/>
          <a:ext cx="54292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57150</xdr:rowOff>
    </xdr:from>
    <xdr:to>
      <xdr:col>8</xdr:col>
      <xdr:colOff>0</xdr:colOff>
      <xdr:row>19</xdr:row>
      <xdr:rowOff>123825</xdr:rowOff>
    </xdr:to>
    <xdr:sp>
      <xdr:nvSpPr>
        <xdr:cNvPr id="4" name="Line 14"/>
        <xdr:cNvSpPr>
          <a:spLocks/>
        </xdr:cNvSpPr>
      </xdr:nvSpPr>
      <xdr:spPr>
        <a:xfrm>
          <a:off x="7096125" y="3048000"/>
          <a:ext cx="0" cy="390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17</xdr:row>
      <xdr:rowOff>19050</xdr:rowOff>
    </xdr:from>
    <xdr:to>
      <xdr:col>7</xdr:col>
      <xdr:colOff>19050</xdr:colOff>
      <xdr:row>19</xdr:row>
      <xdr:rowOff>133350</xdr:rowOff>
    </xdr:to>
    <xdr:sp>
      <xdr:nvSpPr>
        <xdr:cNvPr id="5" name="Line 15"/>
        <xdr:cNvSpPr>
          <a:spLocks/>
        </xdr:cNvSpPr>
      </xdr:nvSpPr>
      <xdr:spPr>
        <a:xfrm>
          <a:off x="6296025" y="3009900"/>
          <a:ext cx="0" cy="4381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504825</xdr:colOff>
      <xdr:row>14</xdr:row>
      <xdr:rowOff>38100</xdr:rowOff>
    </xdr:from>
    <xdr:to>
      <xdr:col>8</xdr:col>
      <xdr:colOff>504825</xdr:colOff>
      <xdr:row>17</xdr:row>
      <xdr:rowOff>38100</xdr:rowOff>
    </xdr:to>
    <xdr:sp>
      <xdr:nvSpPr>
        <xdr:cNvPr id="6" name="Line 17"/>
        <xdr:cNvSpPr>
          <a:spLocks/>
        </xdr:cNvSpPr>
      </xdr:nvSpPr>
      <xdr:spPr>
        <a:xfrm>
          <a:off x="7600950" y="2495550"/>
          <a:ext cx="0" cy="533400"/>
        </a:xfrm>
        <a:prstGeom prst="line">
          <a:avLst/>
        </a:prstGeom>
        <a:noFill/>
        <a:ln w="19050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323850</xdr:colOff>
      <xdr:row>16</xdr:row>
      <xdr:rowOff>28575</xdr:rowOff>
    </xdr:from>
    <xdr:to>
      <xdr:col>7</xdr:col>
      <xdr:colOff>390525</xdr:colOff>
      <xdr:row>17</xdr:row>
      <xdr:rowOff>57150</xdr:rowOff>
    </xdr:to>
    <xdr:sp>
      <xdr:nvSpPr>
        <xdr:cNvPr id="7" name="Line 18"/>
        <xdr:cNvSpPr>
          <a:spLocks/>
        </xdr:cNvSpPr>
      </xdr:nvSpPr>
      <xdr:spPr>
        <a:xfrm>
          <a:off x="6600825" y="2828925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57150</xdr:colOff>
      <xdr:row>17</xdr:row>
      <xdr:rowOff>38100</xdr:rowOff>
    </xdr:from>
    <xdr:to>
      <xdr:col>8</xdr:col>
      <xdr:colOff>85725</xdr:colOff>
      <xdr:row>17</xdr:row>
      <xdr:rowOff>38100</xdr:rowOff>
    </xdr:to>
    <xdr:sp>
      <xdr:nvSpPr>
        <xdr:cNvPr id="8" name="Line 19"/>
        <xdr:cNvSpPr>
          <a:spLocks/>
        </xdr:cNvSpPr>
      </xdr:nvSpPr>
      <xdr:spPr>
        <a:xfrm>
          <a:off x="6334125" y="3028950"/>
          <a:ext cx="8477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161925</xdr:rowOff>
    </xdr:from>
    <xdr:to>
      <xdr:col>8</xdr:col>
      <xdr:colOff>9525</xdr:colOff>
      <xdr:row>17</xdr:row>
      <xdr:rowOff>47625</xdr:rowOff>
    </xdr:to>
    <xdr:sp>
      <xdr:nvSpPr>
        <xdr:cNvPr id="9" name="Line 20"/>
        <xdr:cNvSpPr>
          <a:spLocks/>
        </xdr:cNvSpPr>
      </xdr:nvSpPr>
      <xdr:spPr>
        <a:xfrm>
          <a:off x="7105650" y="2447925"/>
          <a:ext cx="0" cy="590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161925</xdr:rowOff>
    </xdr:from>
    <xdr:to>
      <xdr:col>8</xdr:col>
      <xdr:colOff>47625</xdr:colOff>
      <xdr:row>17</xdr:row>
      <xdr:rowOff>47625</xdr:rowOff>
    </xdr:to>
    <xdr:sp>
      <xdr:nvSpPr>
        <xdr:cNvPr id="10" name="Line 21"/>
        <xdr:cNvSpPr>
          <a:spLocks/>
        </xdr:cNvSpPr>
      </xdr:nvSpPr>
      <xdr:spPr>
        <a:xfrm flipH="1">
          <a:off x="6296025" y="2447925"/>
          <a:ext cx="847725" cy="590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28575</xdr:rowOff>
    </xdr:from>
    <xdr:to>
      <xdr:col>7</xdr:col>
      <xdr:colOff>800100</xdr:colOff>
      <xdr:row>19</xdr:row>
      <xdr:rowOff>28575</xdr:rowOff>
    </xdr:to>
    <xdr:sp>
      <xdr:nvSpPr>
        <xdr:cNvPr id="11" name="Line 22"/>
        <xdr:cNvSpPr>
          <a:spLocks/>
        </xdr:cNvSpPr>
      </xdr:nvSpPr>
      <xdr:spPr>
        <a:xfrm>
          <a:off x="6286500" y="3343275"/>
          <a:ext cx="790575" cy="0"/>
        </a:xfrm>
        <a:prstGeom prst="line">
          <a:avLst/>
        </a:prstGeom>
        <a:noFill/>
        <a:ln w="19050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13</xdr:row>
      <xdr:rowOff>9525</xdr:rowOff>
    </xdr:from>
    <xdr:to>
      <xdr:col>8</xdr:col>
      <xdr:colOff>28575</xdr:colOff>
      <xdr:row>13</xdr:row>
      <xdr:rowOff>161925</xdr:rowOff>
    </xdr:to>
    <xdr:sp>
      <xdr:nvSpPr>
        <xdr:cNvPr id="12" name="Line 23"/>
        <xdr:cNvSpPr>
          <a:spLocks/>
        </xdr:cNvSpPr>
      </xdr:nvSpPr>
      <xdr:spPr>
        <a:xfrm>
          <a:off x="7124700" y="2295525"/>
          <a:ext cx="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9525</xdr:rowOff>
    </xdr:from>
    <xdr:to>
      <xdr:col>9</xdr:col>
      <xdr:colOff>47625</xdr:colOff>
      <xdr:row>13</xdr:row>
      <xdr:rowOff>9525</xdr:rowOff>
    </xdr:to>
    <xdr:sp>
      <xdr:nvSpPr>
        <xdr:cNvPr id="13" name="Line 25"/>
        <xdr:cNvSpPr>
          <a:spLocks/>
        </xdr:cNvSpPr>
      </xdr:nvSpPr>
      <xdr:spPr>
        <a:xfrm>
          <a:off x="7105650" y="2295525"/>
          <a:ext cx="638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76200</xdr:rowOff>
    </xdr:from>
    <xdr:to>
      <xdr:col>8</xdr:col>
      <xdr:colOff>9525</xdr:colOff>
      <xdr:row>19</xdr:row>
      <xdr:rowOff>9525</xdr:rowOff>
    </xdr:to>
    <xdr:sp>
      <xdr:nvSpPr>
        <xdr:cNvPr id="14" name="Line 26"/>
        <xdr:cNvSpPr>
          <a:spLocks/>
        </xdr:cNvSpPr>
      </xdr:nvSpPr>
      <xdr:spPr>
        <a:xfrm flipH="1">
          <a:off x="7096125" y="3067050"/>
          <a:ext cx="9525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19</xdr:row>
      <xdr:rowOff>0</xdr:rowOff>
    </xdr:from>
    <xdr:to>
      <xdr:col>9</xdr:col>
      <xdr:colOff>9525</xdr:colOff>
      <xdr:row>19</xdr:row>
      <xdr:rowOff>0</xdr:rowOff>
    </xdr:to>
    <xdr:sp>
      <xdr:nvSpPr>
        <xdr:cNvPr id="15" name="Line 27"/>
        <xdr:cNvSpPr>
          <a:spLocks/>
        </xdr:cNvSpPr>
      </xdr:nvSpPr>
      <xdr:spPr>
        <a:xfrm>
          <a:off x="7115175" y="3314700"/>
          <a:ext cx="590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123825</xdr:rowOff>
    </xdr:from>
    <xdr:to>
      <xdr:col>8</xdr:col>
      <xdr:colOff>0</xdr:colOff>
      <xdr:row>2</xdr:row>
      <xdr:rowOff>123825</xdr:rowOff>
    </xdr:to>
    <xdr:sp>
      <xdr:nvSpPr>
        <xdr:cNvPr id="1" name="Line 4"/>
        <xdr:cNvSpPr>
          <a:spLocks/>
        </xdr:cNvSpPr>
      </xdr:nvSpPr>
      <xdr:spPr>
        <a:xfrm>
          <a:off x="4600575" y="4095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28575</xdr:rowOff>
    </xdr:from>
    <xdr:to>
      <xdr:col>8</xdr:col>
      <xdr:colOff>0</xdr:colOff>
      <xdr:row>2</xdr:row>
      <xdr:rowOff>114300</xdr:rowOff>
    </xdr:to>
    <xdr:sp>
      <xdr:nvSpPr>
        <xdr:cNvPr id="2" name="Rectangle 5"/>
        <xdr:cNvSpPr>
          <a:spLocks/>
        </xdr:cNvSpPr>
      </xdr:nvSpPr>
      <xdr:spPr>
        <a:xfrm>
          <a:off x="4600575" y="314325"/>
          <a:ext cx="2000250" cy="85725"/>
        </a:xfrm>
        <a:prstGeom prst="rect">
          <a:avLst/>
        </a:prstGeom>
        <a:pattFill prst="dkVert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142875</xdr:rowOff>
    </xdr:from>
    <xdr:to>
      <xdr:col>8</xdr:col>
      <xdr:colOff>0</xdr:colOff>
      <xdr:row>18</xdr:row>
      <xdr:rowOff>95250</xdr:rowOff>
    </xdr:to>
    <xdr:sp>
      <xdr:nvSpPr>
        <xdr:cNvPr id="3" name="Line 7"/>
        <xdr:cNvSpPr>
          <a:spLocks/>
        </xdr:cNvSpPr>
      </xdr:nvSpPr>
      <xdr:spPr>
        <a:xfrm>
          <a:off x="6600825" y="600075"/>
          <a:ext cx="0" cy="269557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</xdr:colOff>
      <xdr:row>18</xdr:row>
      <xdr:rowOff>9525</xdr:rowOff>
    </xdr:from>
    <xdr:to>
      <xdr:col>8</xdr:col>
      <xdr:colOff>0</xdr:colOff>
      <xdr:row>18</xdr:row>
      <xdr:rowOff>9525</xdr:rowOff>
    </xdr:to>
    <xdr:sp>
      <xdr:nvSpPr>
        <xdr:cNvPr id="4" name="Line 8"/>
        <xdr:cNvSpPr>
          <a:spLocks/>
        </xdr:cNvSpPr>
      </xdr:nvSpPr>
      <xdr:spPr>
        <a:xfrm>
          <a:off x="4619625" y="3209925"/>
          <a:ext cx="1981200" cy="0"/>
        </a:xfrm>
        <a:prstGeom prst="line">
          <a:avLst/>
        </a:prstGeom>
        <a:noFill/>
        <a:ln w="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647700</xdr:colOff>
      <xdr:row>15</xdr:row>
      <xdr:rowOff>9525</xdr:rowOff>
    </xdr:from>
    <xdr:to>
      <xdr:col>9</xdr:col>
      <xdr:colOff>133350</xdr:colOff>
      <xdr:row>15</xdr:row>
      <xdr:rowOff>9525</xdr:rowOff>
    </xdr:to>
    <xdr:sp>
      <xdr:nvSpPr>
        <xdr:cNvPr id="5" name="Line 9"/>
        <xdr:cNvSpPr>
          <a:spLocks/>
        </xdr:cNvSpPr>
      </xdr:nvSpPr>
      <xdr:spPr>
        <a:xfrm>
          <a:off x="4591050" y="268605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161925</xdr:rowOff>
    </xdr:from>
    <xdr:to>
      <xdr:col>5</xdr:col>
      <xdr:colOff>47625</xdr:colOff>
      <xdr:row>15</xdr:row>
      <xdr:rowOff>19050</xdr:rowOff>
    </xdr:to>
    <xdr:sp>
      <xdr:nvSpPr>
        <xdr:cNvPr id="6" name="Arc 21"/>
        <xdr:cNvSpPr>
          <a:spLocks/>
        </xdr:cNvSpPr>
      </xdr:nvSpPr>
      <xdr:spPr>
        <a:xfrm flipV="1">
          <a:off x="4610100" y="2676525"/>
          <a:ext cx="28575" cy="190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</xdr:colOff>
      <xdr:row>15</xdr:row>
      <xdr:rowOff>28575</xdr:rowOff>
    </xdr:from>
    <xdr:to>
      <xdr:col>5</xdr:col>
      <xdr:colOff>47625</xdr:colOff>
      <xdr:row>15</xdr:row>
      <xdr:rowOff>47625</xdr:rowOff>
    </xdr:to>
    <xdr:sp>
      <xdr:nvSpPr>
        <xdr:cNvPr id="7" name="Arc 22"/>
        <xdr:cNvSpPr>
          <a:spLocks/>
        </xdr:cNvSpPr>
      </xdr:nvSpPr>
      <xdr:spPr>
        <a:xfrm flipH="1" flipV="1">
          <a:off x="4619625" y="2705100"/>
          <a:ext cx="19050" cy="190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571500</xdr:colOff>
      <xdr:row>4</xdr:row>
      <xdr:rowOff>104775</xdr:rowOff>
    </xdr:from>
    <xdr:to>
      <xdr:col>7</xdr:col>
      <xdr:colOff>581025</xdr:colOff>
      <xdr:row>4</xdr:row>
      <xdr:rowOff>114300</xdr:rowOff>
    </xdr:to>
    <xdr:sp>
      <xdr:nvSpPr>
        <xdr:cNvPr id="8" name="Arc 23"/>
        <xdr:cNvSpPr>
          <a:spLocks/>
        </xdr:cNvSpPr>
      </xdr:nvSpPr>
      <xdr:spPr>
        <a:xfrm>
          <a:off x="6543675" y="752475"/>
          <a:ext cx="9525" cy="95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114300</xdr:rowOff>
    </xdr:from>
    <xdr:to>
      <xdr:col>7</xdr:col>
      <xdr:colOff>609600</xdr:colOff>
      <xdr:row>14</xdr:row>
      <xdr:rowOff>161925</xdr:rowOff>
    </xdr:to>
    <xdr:sp>
      <xdr:nvSpPr>
        <xdr:cNvPr id="9" name="Arc 24"/>
        <xdr:cNvSpPr>
          <a:spLocks/>
        </xdr:cNvSpPr>
      </xdr:nvSpPr>
      <xdr:spPr>
        <a:xfrm flipV="1">
          <a:off x="4600575" y="762000"/>
          <a:ext cx="1981200" cy="19145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600075</xdr:colOff>
      <xdr:row>4</xdr:row>
      <xdr:rowOff>47625</xdr:rowOff>
    </xdr:from>
    <xdr:to>
      <xdr:col>8</xdr:col>
      <xdr:colOff>9525</xdr:colOff>
      <xdr:row>15</xdr:row>
      <xdr:rowOff>47625</xdr:rowOff>
    </xdr:to>
    <xdr:sp>
      <xdr:nvSpPr>
        <xdr:cNvPr id="10" name="Line 26"/>
        <xdr:cNvSpPr>
          <a:spLocks/>
        </xdr:cNvSpPr>
      </xdr:nvSpPr>
      <xdr:spPr>
        <a:xfrm flipH="1">
          <a:off x="4543425" y="695325"/>
          <a:ext cx="2066925" cy="202882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13</xdr:row>
      <xdr:rowOff>76200</xdr:rowOff>
    </xdr:from>
    <xdr:to>
      <xdr:col>4</xdr:col>
      <xdr:colOff>609600</xdr:colOff>
      <xdr:row>15</xdr:row>
      <xdr:rowOff>47625</xdr:rowOff>
    </xdr:to>
    <xdr:sp>
      <xdr:nvSpPr>
        <xdr:cNvPr id="11" name="Line 28"/>
        <xdr:cNvSpPr>
          <a:spLocks/>
        </xdr:cNvSpPr>
      </xdr:nvSpPr>
      <xdr:spPr>
        <a:xfrm>
          <a:off x="4171950" y="2381250"/>
          <a:ext cx="381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295275</xdr:colOff>
      <xdr:row>2</xdr:row>
      <xdr:rowOff>161925</xdr:rowOff>
    </xdr:from>
    <xdr:to>
      <xdr:col>8</xdr:col>
      <xdr:colOff>0</xdr:colOff>
      <xdr:row>4</xdr:row>
      <xdr:rowOff>76200</xdr:rowOff>
    </xdr:to>
    <xdr:sp>
      <xdr:nvSpPr>
        <xdr:cNvPr id="12" name="Line 29"/>
        <xdr:cNvSpPr>
          <a:spLocks/>
        </xdr:cNvSpPr>
      </xdr:nvSpPr>
      <xdr:spPr>
        <a:xfrm>
          <a:off x="6267450" y="447675"/>
          <a:ext cx="3333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304800</xdr:colOff>
      <xdr:row>3</xdr:row>
      <xdr:rowOff>47625</xdr:rowOff>
    </xdr:from>
    <xdr:to>
      <xdr:col>7</xdr:col>
      <xdr:colOff>342900</xdr:colOff>
      <xdr:row>13</xdr:row>
      <xdr:rowOff>161925</xdr:rowOff>
    </xdr:to>
    <xdr:sp>
      <xdr:nvSpPr>
        <xdr:cNvPr id="13" name="Line 30"/>
        <xdr:cNvSpPr>
          <a:spLocks/>
        </xdr:cNvSpPr>
      </xdr:nvSpPr>
      <xdr:spPr>
        <a:xfrm flipH="1">
          <a:off x="4248150" y="504825"/>
          <a:ext cx="2066925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95250</xdr:colOff>
      <xdr:row>3</xdr:row>
      <xdr:rowOff>9525</xdr:rowOff>
    </xdr:from>
    <xdr:to>
      <xdr:col>8</xdr:col>
      <xdr:colOff>28575</xdr:colOff>
      <xdr:row>14</xdr:row>
      <xdr:rowOff>161925</xdr:rowOff>
    </xdr:to>
    <xdr:sp>
      <xdr:nvSpPr>
        <xdr:cNvPr id="14" name="Arc 32"/>
        <xdr:cNvSpPr>
          <a:spLocks/>
        </xdr:cNvSpPr>
      </xdr:nvSpPr>
      <xdr:spPr>
        <a:xfrm flipV="1">
          <a:off x="4038600" y="466725"/>
          <a:ext cx="2590800" cy="2209800"/>
        </a:xfrm>
        <a:custGeom>
          <a:pathLst>
            <a:path fill="none" h="21040" w="21408">
              <a:moveTo>
                <a:pt x="4886" y="0"/>
              </a:moveTo>
              <a:cubicBezTo>
                <a:pt x="13634" y="2032"/>
                <a:pt x="20212" y="9264"/>
                <a:pt x="21407" y="18166"/>
              </a:cubicBezTo>
            </a:path>
            <a:path stroke="0" h="21040" w="21408">
              <a:moveTo>
                <a:pt x="4886" y="0"/>
              </a:moveTo>
              <a:cubicBezTo>
                <a:pt x="13634" y="2032"/>
                <a:pt x="20212" y="9264"/>
                <a:pt x="21407" y="18166"/>
              </a:cubicBezTo>
              <a:lnTo>
                <a:pt x="0" y="21040"/>
              </a:lnTo>
              <a:lnTo>
                <a:pt x="4886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342900</xdr:colOff>
      <xdr:row>9</xdr:row>
      <xdr:rowOff>171450</xdr:rowOff>
    </xdr:from>
    <xdr:to>
      <xdr:col>7</xdr:col>
      <xdr:colOff>28575</xdr:colOff>
      <xdr:row>11</xdr:row>
      <xdr:rowOff>95250</xdr:rowOff>
    </xdr:to>
    <xdr:sp>
      <xdr:nvSpPr>
        <xdr:cNvPr id="15" name="Line 34"/>
        <xdr:cNvSpPr>
          <a:spLocks/>
        </xdr:cNvSpPr>
      </xdr:nvSpPr>
      <xdr:spPr>
        <a:xfrm>
          <a:off x="5629275" y="1666875"/>
          <a:ext cx="371475" cy="3238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76200</xdr:rowOff>
    </xdr:from>
    <xdr:to>
      <xdr:col>9</xdr:col>
      <xdr:colOff>9525</xdr:colOff>
      <xdr:row>4</xdr:row>
      <xdr:rowOff>76200</xdr:rowOff>
    </xdr:to>
    <xdr:sp>
      <xdr:nvSpPr>
        <xdr:cNvPr id="16" name="Line 42"/>
        <xdr:cNvSpPr>
          <a:spLocks/>
        </xdr:cNvSpPr>
      </xdr:nvSpPr>
      <xdr:spPr>
        <a:xfrm>
          <a:off x="6600825" y="7239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676275</xdr:colOff>
      <xdr:row>4</xdr:row>
      <xdr:rowOff>76200</xdr:rowOff>
    </xdr:from>
    <xdr:to>
      <xdr:col>8</xdr:col>
      <xdr:colOff>676275</xdr:colOff>
      <xdr:row>15</xdr:row>
      <xdr:rowOff>9525</xdr:rowOff>
    </xdr:to>
    <xdr:sp>
      <xdr:nvSpPr>
        <xdr:cNvPr id="17" name="Line 45"/>
        <xdr:cNvSpPr>
          <a:spLocks/>
        </xdr:cNvSpPr>
      </xdr:nvSpPr>
      <xdr:spPr>
        <a:xfrm>
          <a:off x="7277100" y="723900"/>
          <a:ext cx="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76200</xdr:rowOff>
    </xdr:from>
    <xdr:to>
      <xdr:col>8</xdr:col>
      <xdr:colOff>19050</xdr:colOff>
      <xdr:row>6</xdr:row>
      <xdr:rowOff>47625</xdr:rowOff>
    </xdr:to>
    <xdr:sp>
      <xdr:nvSpPr>
        <xdr:cNvPr id="18" name="Line 47"/>
        <xdr:cNvSpPr>
          <a:spLocks/>
        </xdr:cNvSpPr>
      </xdr:nvSpPr>
      <xdr:spPr>
        <a:xfrm flipH="1">
          <a:off x="6619875" y="723900"/>
          <a:ext cx="0" cy="323850"/>
        </a:xfrm>
        <a:prstGeom prst="line">
          <a:avLst/>
        </a:prstGeom>
        <a:noFill/>
        <a:ln w="381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9525</xdr:rowOff>
    </xdr:from>
    <xdr:to>
      <xdr:col>5</xdr:col>
      <xdr:colOff>9525</xdr:colOff>
      <xdr:row>18</xdr:row>
      <xdr:rowOff>66675</xdr:rowOff>
    </xdr:to>
    <xdr:sp>
      <xdr:nvSpPr>
        <xdr:cNvPr id="19" name="Line 49"/>
        <xdr:cNvSpPr>
          <a:spLocks/>
        </xdr:cNvSpPr>
      </xdr:nvSpPr>
      <xdr:spPr>
        <a:xfrm>
          <a:off x="4610100" y="268605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28575</xdr:rowOff>
    </xdr:from>
    <xdr:to>
      <xdr:col>5</xdr:col>
      <xdr:colOff>9525</xdr:colOff>
      <xdr:row>17</xdr:row>
      <xdr:rowOff>28575</xdr:rowOff>
    </xdr:to>
    <xdr:sp>
      <xdr:nvSpPr>
        <xdr:cNvPr id="20" name="Line 50"/>
        <xdr:cNvSpPr>
          <a:spLocks/>
        </xdr:cNvSpPr>
      </xdr:nvSpPr>
      <xdr:spPr>
        <a:xfrm>
          <a:off x="4610100" y="2705100"/>
          <a:ext cx="0" cy="352425"/>
        </a:xfrm>
        <a:prstGeom prst="line">
          <a:avLst/>
        </a:prstGeom>
        <a:noFill/>
        <a:ln w="381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628650</xdr:colOff>
      <xdr:row>13</xdr:row>
      <xdr:rowOff>28575</xdr:rowOff>
    </xdr:from>
    <xdr:to>
      <xdr:col>5</xdr:col>
      <xdr:colOff>352425</xdr:colOff>
      <xdr:row>15</xdr:row>
      <xdr:rowOff>0</xdr:rowOff>
    </xdr:to>
    <xdr:sp>
      <xdr:nvSpPr>
        <xdr:cNvPr id="21" name="Line 52"/>
        <xdr:cNvSpPr>
          <a:spLocks/>
        </xdr:cNvSpPr>
      </xdr:nvSpPr>
      <xdr:spPr>
        <a:xfrm flipV="1">
          <a:off x="4572000" y="2333625"/>
          <a:ext cx="381000" cy="342900"/>
        </a:xfrm>
        <a:prstGeom prst="line">
          <a:avLst/>
        </a:prstGeom>
        <a:noFill/>
        <a:ln w="381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285750</xdr:colOff>
      <xdr:row>13</xdr:row>
      <xdr:rowOff>123825</xdr:rowOff>
    </xdr:from>
    <xdr:to>
      <xdr:col>5</xdr:col>
      <xdr:colOff>438150</xdr:colOff>
      <xdr:row>14</xdr:row>
      <xdr:rowOff>47625</xdr:rowOff>
    </xdr:to>
    <xdr:sp>
      <xdr:nvSpPr>
        <xdr:cNvPr id="22" name="Line 58"/>
        <xdr:cNvSpPr>
          <a:spLocks/>
        </xdr:cNvSpPr>
      </xdr:nvSpPr>
      <xdr:spPr>
        <a:xfrm>
          <a:off x="4886325" y="2428875"/>
          <a:ext cx="152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419100</xdr:colOff>
      <xdr:row>12</xdr:row>
      <xdr:rowOff>200025</xdr:rowOff>
    </xdr:from>
    <xdr:to>
      <xdr:col>5</xdr:col>
      <xdr:colOff>647700</xdr:colOff>
      <xdr:row>14</xdr:row>
      <xdr:rowOff>0</xdr:rowOff>
    </xdr:to>
    <xdr:sp>
      <xdr:nvSpPr>
        <xdr:cNvPr id="23" name="Line 59"/>
        <xdr:cNvSpPr>
          <a:spLocks/>
        </xdr:cNvSpPr>
      </xdr:nvSpPr>
      <xdr:spPr>
        <a:xfrm>
          <a:off x="5019675" y="2295525"/>
          <a:ext cx="2286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571500</xdr:colOff>
      <xdr:row>12</xdr:row>
      <xdr:rowOff>38100</xdr:rowOff>
    </xdr:from>
    <xdr:to>
      <xdr:col>6</xdr:col>
      <xdr:colOff>152400</xdr:colOff>
      <xdr:row>13</xdr:row>
      <xdr:rowOff>85725</xdr:rowOff>
    </xdr:to>
    <xdr:sp>
      <xdr:nvSpPr>
        <xdr:cNvPr id="24" name="Line 60"/>
        <xdr:cNvSpPr>
          <a:spLocks/>
        </xdr:cNvSpPr>
      </xdr:nvSpPr>
      <xdr:spPr>
        <a:xfrm>
          <a:off x="5172075" y="2133600"/>
          <a:ext cx="2667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95250</xdr:rowOff>
    </xdr:from>
    <xdr:to>
      <xdr:col>6</xdr:col>
      <xdr:colOff>352425</xdr:colOff>
      <xdr:row>13</xdr:row>
      <xdr:rowOff>9525</xdr:rowOff>
    </xdr:to>
    <xdr:sp>
      <xdr:nvSpPr>
        <xdr:cNvPr id="25" name="Line 61"/>
        <xdr:cNvSpPr>
          <a:spLocks/>
        </xdr:cNvSpPr>
      </xdr:nvSpPr>
      <xdr:spPr>
        <a:xfrm>
          <a:off x="5305425" y="1990725"/>
          <a:ext cx="3333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171450</xdr:colOff>
      <xdr:row>10</xdr:row>
      <xdr:rowOff>104775</xdr:rowOff>
    </xdr:from>
    <xdr:to>
      <xdr:col>6</xdr:col>
      <xdr:colOff>523875</xdr:colOff>
      <xdr:row>12</xdr:row>
      <xdr:rowOff>57150</xdr:rowOff>
    </xdr:to>
    <xdr:sp>
      <xdr:nvSpPr>
        <xdr:cNvPr id="26" name="Line 62"/>
        <xdr:cNvSpPr>
          <a:spLocks/>
        </xdr:cNvSpPr>
      </xdr:nvSpPr>
      <xdr:spPr>
        <a:xfrm>
          <a:off x="5457825" y="1809750"/>
          <a:ext cx="3524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485775</xdr:colOff>
      <xdr:row>9</xdr:row>
      <xdr:rowOff>0</xdr:rowOff>
    </xdr:from>
    <xdr:to>
      <xdr:col>7</xdr:col>
      <xdr:colOff>161925</xdr:colOff>
      <xdr:row>10</xdr:row>
      <xdr:rowOff>104775</xdr:rowOff>
    </xdr:to>
    <xdr:sp>
      <xdr:nvSpPr>
        <xdr:cNvPr id="27" name="Line 63"/>
        <xdr:cNvSpPr>
          <a:spLocks/>
        </xdr:cNvSpPr>
      </xdr:nvSpPr>
      <xdr:spPr>
        <a:xfrm>
          <a:off x="5772150" y="1495425"/>
          <a:ext cx="361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647700</xdr:colOff>
      <xdr:row>8</xdr:row>
      <xdr:rowOff>57150</xdr:rowOff>
    </xdr:from>
    <xdr:to>
      <xdr:col>7</xdr:col>
      <xdr:colOff>314325</xdr:colOff>
      <xdr:row>9</xdr:row>
      <xdr:rowOff>171450</xdr:rowOff>
    </xdr:to>
    <xdr:sp>
      <xdr:nvSpPr>
        <xdr:cNvPr id="28" name="Line 64"/>
        <xdr:cNvSpPr>
          <a:spLocks/>
        </xdr:cNvSpPr>
      </xdr:nvSpPr>
      <xdr:spPr>
        <a:xfrm>
          <a:off x="5934075" y="1381125"/>
          <a:ext cx="3524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95250</xdr:colOff>
      <xdr:row>7</xdr:row>
      <xdr:rowOff>38100</xdr:rowOff>
    </xdr:from>
    <xdr:to>
      <xdr:col>7</xdr:col>
      <xdr:colOff>419100</xdr:colOff>
      <xdr:row>8</xdr:row>
      <xdr:rowOff>133350</xdr:rowOff>
    </xdr:to>
    <xdr:sp>
      <xdr:nvSpPr>
        <xdr:cNvPr id="29" name="Line 65"/>
        <xdr:cNvSpPr>
          <a:spLocks/>
        </xdr:cNvSpPr>
      </xdr:nvSpPr>
      <xdr:spPr>
        <a:xfrm>
          <a:off x="6067425" y="12001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257175</xdr:colOff>
      <xdr:row>6</xdr:row>
      <xdr:rowOff>76200</xdr:rowOff>
    </xdr:from>
    <xdr:to>
      <xdr:col>7</xdr:col>
      <xdr:colOff>504825</xdr:colOff>
      <xdr:row>7</xdr:row>
      <xdr:rowOff>114300</xdr:rowOff>
    </xdr:to>
    <xdr:sp>
      <xdr:nvSpPr>
        <xdr:cNvPr id="30" name="Line 66"/>
        <xdr:cNvSpPr>
          <a:spLocks/>
        </xdr:cNvSpPr>
      </xdr:nvSpPr>
      <xdr:spPr>
        <a:xfrm>
          <a:off x="6229350" y="1076325"/>
          <a:ext cx="247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438150</xdr:colOff>
      <xdr:row>5</xdr:row>
      <xdr:rowOff>66675</xdr:rowOff>
    </xdr:from>
    <xdr:to>
      <xdr:col>7</xdr:col>
      <xdr:colOff>581025</xdr:colOff>
      <xdr:row>6</xdr:row>
      <xdr:rowOff>19050</xdr:rowOff>
    </xdr:to>
    <xdr:sp>
      <xdr:nvSpPr>
        <xdr:cNvPr id="31" name="Line 67"/>
        <xdr:cNvSpPr>
          <a:spLocks/>
        </xdr:cNvSpPr>
      </xdr:nvSpPr>
      <xdr:spPr>
        <a:xfrm>
          <a:off x="6410325" y="904875"/>
          <a:ext cx="152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104775</xdr:colOff>
      <xdr:row>11</xdr:row>
      <xdr:rowOff>0</xdr:rowOff>
    </xdr:from>
    <xdr:to>
      <xdr:col>6</xdr:col>
      <xdr:colOff>438150</xdr:colOff>
      <xdr:row>12</xdr:row>
      <xdr:rowOff>123825</xdr:rowOff>
    </xdr:to>
    <xdr:sp>
      <xdr:nvSpPr>
        <xdr:cNvPr id="32" name="Line 80"/>
        <xdr:cNvSpPr>
          <a:spLocks/>
        </xdr:cNvSpPr>
      </xdr:nvSpPr>
      <xdr:spPr>
        <a:xfrm>
          <a:off x="5391150" y="1895475"/>
          <a:ext cx="3333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276225</xdr:colOff>
      <xdr:row>10</xdr:row>
      <xdr:rowOff>47625</xdr:rowOff>
    </xdr:from>
    <xdr:to>
      <xdr:col>6</xdr:col>
      <xdr:colOff>628650</xdr:colOff>
      <xdr:row>11</xdr:row>
      <xdr:rowOff>171450</xdr:rowOff>
    </xdr:to>
    <xdr:sp>
      <xdr:nvSpPr>
        <xdr:cNvPr id="33" name="Line 81"/>
        <xdr:cNvSpPr>
          <a:spLocks/>
        </xdr:cNvSpPr>
      </xdr:nvSpPr>
      <xdr:spPr>
        <a:xfrm>
          <a:off x="5562600" y="1752600"/>
          <a:ext cx="3524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628650</xdr:colOff>
      <xdr:row>11</xdr:row>
      <xdr:rowOff>152400</xdr:rowOff>
    </xdr:from>
    <xdr:to>
      <xdr:col>6</xdr:col>
      <xdr:colOff>247650</xdr:colOff>
      <xdr:row>13</xdr:row>
      <xdr:rowOff>38100</xdr:rowOff>
    </xdr:to>
    <xdr:sp>
      <xdr:nvSpPr>
        <xdr:cNvPr id="34" name="Line 82"/>
        <xdr:cNvSpPr>
          <a:spLocks/>
        </xdr:cNvSpPr>
      </xdr:nvSpPr>
      <xdr:spPr>
        <a:xfrm>
          <a:off x="5229225" y="2047875"/>
          <a:ext cx="3048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495300</xdr:colOff>
      <xdr:row>12</xdr:row>
      <xdr:rowOff>123825</xdr:rowOff>
    </xdr:from>
    <xdr:to>
      <xdr:col>6</xdr:col>
      <xdr:colOff>28575</xdr:colOff>
      <xdr:row>13</xdr:row>
      <xdr:rowOff>133350</xdr:rowOff>
    </xdr:to>
    <xdr:sp>
      <xdr:nvSpPr>
        <xdr:cNvPr id="35" name="Line 83"/>
        <xdr:cNvSpPr>
          <a:spLocks/>
        </xdr:cNvSpPr>
      </xdr:nvSpPr>
      <xdr:spPr>
        <a:xfrm>
          <a:off x="5095875" y="2219325"/>
          <a:ext cx="2190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333375</xdr:colOff>
      <xdr:row>13</xdr:row>
      <xdr:rowOff>57150</xdr:rowOff>
    </xdr:from>
    <xdr:to>
      <xdr:col>5</xdr:col>
      <xdr:colOff>523875</xdr:colOff>
      <xdr:row>14</xdr:row>
      <xdr:rowOff>19050</xdr:rowOff>
    </xdr:to>
    <xdr:sp>
      <xdr:nvSpPr>
        <xdr:cNvPr id="36" name="Line 84"/>
        <xdr:cNvSpPr>
          <a:spLocks/>
        </xdr:cNvSpPr>
      </xdr:nvSpPr>
      <xdr:spPr>
        <a:xfrm>
          <a:off x="4933950" y="2362200"/>
          <a:ext cx="1905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13</xdr:row>
      <xdr:rowOff>152400</xdr:rowOff>
    </xdr:from>
    <xdr:to>
      <xdr:col>5</xdr:col>
      <xdr:colOff>342900</xdr:colOff>
      <xdr:row>14</xdr:row>
      <xdr:rowOff>85725</xdr:rowOff>
    </xdr:to>
    <xdr:sp>
      <xdr:nvSpPr>
        <xdr:cNvPr id="37" name="Line 85"/>
        <xdr:cNvSpPr>
          <a:spLocks/>
        </xdr:cNvSpPr>
      </xdr:nvSpPr>
      <xdr:spPr>
        <a:xfrm>
          <a:off x="4791075" y="2457450"/>
          <a:ext cx="152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161925</xdr:colOff>
      <xdr:row>14</xdr:row>
      <xdr:rowOff>19050</xdr:rowOff>
    </xdr:from>
    <xdr:to>
      <xdr:col>5</xdr:col>
      <xdr:colOff>257175</xdr:colOff>
      <xdr:row>14</xdr:row>
      <xdr:rowOff>114300</xdr:rowOff>
    </xdr:to>
    <xdr:sp>
      <xdr:nvSpPr>
        <xdr:cNvPr id="38" name="Line 86"/>
        <xdr:cNvSpPr>
          <a:spLocks/>
        </xdr:cNvSpPr>
      </xdr:nvSpPr>
      <xdr:spPr>
        <a:xfrm>
          <a:off x="4762500" y="2533650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95250</xdr:rowOff>
    </xdr:from>
    <xdr:to>
      <xdr:col>7</xdr:col>
      <xdr:colOff>95250</xdr:colOff>
      <xdr:row>11</xdr:row>
      <xdr:rowOff>9525</xdr:rowOff>
    </xdr:to>
    <xdr:sp>
      <xdr:nvSpPr>
        <xdr:cNvPr id="39" name="Line 87"/>
        <xdr:cNvSpPr>
          <a:spLocks/>
        </xdr:cNvSpPr>
      </xdr:nvSpPr>
      <xdr:spPr>
        <a:xfrm>
          <a:off x="5715000" y="1590675"/>
          <a:ext cx="3524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561975</xdr:colOff>
      <xdr:row>8</xdr:row>
      <xdr:rowOff>123825</xdr:rowOff>
    </xdr:from>
    <xdr:to>
      <xdr:col>7</xdr:col>
      <xdr:colOff>247650</xdr:colOff>
      <xdr:row>10</xdr:row>
      <xdr:rowOff>57150</xdr:rowOff>
    </xdr:to>
    <xdr:sp>
      <xdr:nvSpPr>
        <xdr:cNvPr id="40" name="Line 88"/>
        <xdr:cNvSpPr>
          <a:spLocks/>
        </xdr:cNvSpPr>
      </xdr:nvSpPr>
      <xdr:spPr>
        <a:xfrm>
          <a:off x="5848350" y="14478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142875</xdr:rowOff>
    </xdr:from>
    <xdr:to>
      <xdr:col>7</xdr:col>
      <xdr:colOff>381000</xdr:colOff>
      <xdr:row>9</xdr:row>
      <xdr:rowOff>85725</xdr:rowOff>
    </xdr:to>
    <xdr:sp>
      <xdr:nvSpPr>
        <xdr:cNvPr id="41" name="Line 89"/>
        <xdr:cNvSpPr>
          <a:spLocks/>
        </xdr:cNvSpPr>
      </xdr:nvSpPr>
      <xdr:spPr>
        <a:xfrm>
          <a:off x="6000750" y="1304925"/>
          <a:ext cx="3429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142875</xdr:rowOff>
    </xdr:from>
    <xdr:to>
      <xdr:col>7</xdr:col>
      <xdr:colOff>476250</xdr:colOff>
      <xdr:row>8</xdr:row>
      <xdr:rowOff>38100</xdr:rowOff>
    </xdr:to>
    <xdr:sp>
      <xdr:nvSpPr>
        <xdr:cNvPr id="42" name="Line 90"/>
        <xdr:cNvSpPr>
          <a:spLocks/>
        </xdr:cNvSpPr>
      </xdr:nvSpPr>
      <xdr:spPr>
        <a:xfrm>
          <a:off x="6153150" y="1143000"/>
          <a:ext cx="2952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371475</xdr:colOff>
      <xdr:row>5</xdr:row>
      <xdr:rowOff>123825</xdr:rowOff>
    </xdr:from>
    <xdr:to>
      <xdr:col>7</xdr:col>
      <xdr:colOff>600075</xdr:colOff>
      <xdr:row>6</xdr:row>
      <xdr:rowOff>133350</xdr:rowOff>
    </xdr:to>
    <xdr:sp>
      <xdr:nvSpPr>
        <xdr:cNvPr id="43" name="Line 91"/>
        <xdr:cNvSpPr>
          <a:spLocks/>
        </xdr:cNvSpPr>
      </xdr:nvSpPr>
      <xdr:spPr>
        <a:xfrm>
          <a:off x="6343650" y="962025"/>
          <a:ext cx="2286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323850</xdr:colOff>
      <xdr:row>6</xdr:row>
      <xdr:rowOff>19050</xdr:rowOff>
    </xdr:from>
    <xdr:to>
      <xdr:col>7</xdr:col>
      <xdr:colOff>571500</xdr:colOff>
      <xdr:row>7</xdr:row>
      <xdr:rowOff>57150</xdr:rowOff>
    </xdr:to>
    <xdr:sp>
      <xdr:nvSpPr>
        <xdr:cNvPr id="44" name="Line 92"/>
        <xdr:cNvSpPr>
          <a:spLocks/>
        </xdr:cNvSpPr>
      </xdr:nvSpPr>
      <xdr:spPr>
        <a:xfrm>
          <a:off x="6296025" y="1019175"/>
          <a:ext cx="247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485775</xdr:colOff>
      <xdr:row>4</xdr:row>
      <xdr:rowOff>152400</xdr:rowOff>
    </xdr:from>
    <xdr:to>
      <xdr:col>8</xdr:col>
      <xdr:colOff>9525</xdr:colOff>
      <xdr:row>5</xdr:row>
      <xdr:rowOff>104775</xdr:rowOff>
    </xdr:to>
    <xdr:sp>
      <xdr:nvSpPr>
        <xdr:cNvPr id="45" name="Line 93"/>
        <xdr:cNvSpPr>
          <a:spLocks/>
        </xdr:cNvSpPr>
      </xdr:nvSpPr>
      <xdr:spPr>
        <a:xfrm>
          <a:off x="6457950" y="800100"/>
          <a:ext cx="152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6</xdr:row>
      <xdr:rowOff>0</xdr:rowOff>
    </xdr:from>
    <xdr:to>
      <xdr:col>9</xdr:col>
      <xdr:colOff>161925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6705600" y="9144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685800</xdr:colOff>
      <xdr:row>14</xdr:row>
      <xdr:rowOff>0</xdr:rowOff>
    </xdr:from>
    <xdr:to>
      <xdr:col>9</xdr:col>
      <xdr:colOff>142875</xdr:colOff>
      <xdr:row>14</xdr:row>
      <xdr:rowOff>0</xdr:rowOff>
    </xdr:to>
    <xdr:sp>
      <xdr:nvSpPr>
        <xdr:cNvPr id="2" name="Line 4"/>
        <xdr:cNvSpPr>
          <a:spLocks/>
        </xdr:cNvSpPr>
      </xdr:nvSpPr>
      <xdr:spPr>
        <a:xfrm>
          <a:off x="4591050" y="23812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552450</xdr:colOff>
      <xdr:row>6</xdr:row>
      <xdr:rowOff>9525</xdr:rowOff>
    </xdr:from>
    <xdr:to>
      <xdr:col>8</xdr:col>
      <xdr:colOff>552450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7267575" y="923925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15</xdr:row>
      <xdr:rowOff>85725</xdr:rowOff>
    </xdr:to>
    <xdr:sp>
      <xdr:nvSpPr>
        <xdr:cNvPr id="4" name="Line 6"/>
        <xdr:cNvSpPr>
          <a:spLocks/>
        </xdr:cNvSpPr>
      </xdr:nvSpPr>
      <xdr:spPr>
        <a:xfrm flipV="1">
          <a:off x="4657725" y="2381250"/>
          <a:ext cx="0" cy="2952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676275</xdr:colOff>
      <xdr:row>9</xdr:row>
      <xdr:rowOff>19050</xdr:rowOff>
    </xdr:from>
    <xdr:to>
      <xdr:col>6</xdr:col>
      <xdr:colOff>676275</xdr:colOff>
      <xdr:row>11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6019800" y="1428750"/>
          <a:ext cx="0" cy="3619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152400</xdr:rowOff>
    </xdr:from>
    <xdr:to>
      <xdr:col>8</xdr:col>
      <xdr:colOff>0</xdr:colOff>
      <xdr:row>7</xdr:row>
      <xdr:rowOff>152400</xdr:rowOff>
    </xdr:to>
    <xdr:sp>
      <xdr:nvSpPr>
        <xdr:cNvPr id="6" name="Line 8"/>
        <xdr:cNvSpPr>
          <a:spLocks/>
        </xdr:cNvSpPr>
      </xdr:nvSpPr>
      <xdr:spPr>
        <a:xfrm flipH="1" flipV="1">
          <a:off x="6715125" y="904875"/>
          <a:ext cx="0" cy="3238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57150</xdr:rowOff>
    </xdr:from>
    <xdr:to>
      <xdr:col>5</xdr:col>
      <xdr:colOff>0</xdr:colOff>
      <xdr:row>18</xdr:row>
      <xdr:rowOff>114300</xdr:rowOff>
    </xdr:to>
    <xdr:sp>
      <xdr:nvSpPr>
        <xdr:cNvPr id="7" name="Line 9"/>
        <xdr:cNvSpPr>
          <a:spLocks/>
        </xdr:cNvSpPr>
      </xdr:nvSpPr>
      <xdr:spPr>
        <a:xfrm>
          <a:off x="4657725" y="26479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676275</xdr:colOff>
      <xdr:row>7</xdr:row>
      <xdr:rowOff>152400</xdr:rowOff>
    </xdr:from>
    <xdr:to>
      <xdr:col>7</xdr:col>
      <xdr:colOff>676275</xdr:colOff>
      <xdr:row>18</xdr:row>
      <xdr:rowOff>123825</xdr:rowOff>
    </xdr:to>
    <xdr:sp>
      <xdr:nvSpPr>
        <xdr:cNvPr id="8" name="Line 11"/>
        <xdr:cNvSpPr>
          <a:spLocks/>
        </xdr:cNvSpPr>
      </xdr:nvSpPr>
      <xdr:spPr>
        <a:xfrm>
          <a:off x="6705600" y="1228725"/>
          <a:ext cx="0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9" name="Line 13"/>
        <xdr:cNvSpPr>
          <a:spLocks/>
        </xdr:cNvSpPr>
      </xdr:nvSpPr>
      <xdr:spPr>
        <a:xfrm>
          <a:off x="4657725" y="3133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200025</xdr:colOff>
      <xdr:row>11</xdr:row>
      <xdr:rowOff>0</xdr:rowOff>
    </xdr:from>
    <xdr:to>
      <xdr:col>4</xdr:col>
      <xdr:colOff>657225</xdr:colOff>
      <xdr:row>13</xdr:row>
      <xdr:rowOff>152400</xdr:rowOff>
    </xdr:to>
    <xdr:sp>
      <xdr:nvSpPr>
        <xdr:cNvPr id="10" name="Line 14"/>
        <xdr:cNvSpPr>
          <a:spLocks/>
        </xdr:cNvSpPr>
      </xdr:nvSpPr>
      <xdr:spPr>
        <a:xfrm>
          <a:off x="4105275" y="1790700"/>
          <a:ext cx="4572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247650</xdr:colOff>
      <xdr:row>3</xdr:row>
      <xdr:rowOff>9525</xdr:rowOff>
    </xdr:from>
    <xdr:to>
      <xdr:col>7</xdr:col>
      <xdr:colOff>657225</xdr:colOff>
      <xdr:row>6</xdr:row>
      <xdr:rowOff>0</xdr:rowOff>
    </xdr:to>
    <xdr:sp>
      <xdr:nvSpPr>
        <xdr:cNvPr id="11" name="Line 15"/>
        <xdr:cNvSpPr>
          <a:spLocks/>
        </xdr:cNvSpPr>
      </xdr:nvSpPr>
      <xdr:spPr>
        <a:xfrm>
          <a:off x="6276975" y="390525"/>
          <a:ext cx="409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219075</xdr:colOff>
      <xdr:row>3</xdr:row>
      <xdr:rowOff>0</xdr:rowOff>
    </xdr:from>
    <xdr:to>
      <xdr:col>7</xdr:col>
      <xdr:colOff>228600</xdr:colOff>
      <xdr:row>11</xdr:row>
      <xdr:rowOff>9525</xdr:rowOff>
    </xdr:to>
    <xdr:sp>
      <xdr:nvSpPr>
        <xdr:cNvPr id="12" name="Line 16"/>
        <xdr:cNvSpPr>
          <a:spLocks/>
        </xdr:cNvSpPr>
      </xdr:nvSpPr>
      <xdr:spPr>
        <a:xfrm flipV="1">
          <a:off x="4124325" y="381000"/>
          <a:ext cx="213360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</xdr:rowOff>
    </xdr:from>
    <xdr:to>
      <xdr:col>7</xdr:col>
      <xdr:colOff>9525</xdr:colOff>
      <xdr:row>16</xdr:row>
      <xdr:rowOff>9525</xdr:rowOff>
    </xdr:to>
    <xdr:sp>
      <xdr:nvSpPr>
        <xdr:cNvPr id="13" name="Line 19"/>
        <xdr:cNvSpPr>
          <a:spLocks/>
        </xdr:cNvSpPr>
      </xdr:nvSpPr>
      <xdr:spPr>
        <a:xfrm>
          <a:off x="4667250" y="27908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4" name="Line 21"/>
        <xdr:cNvSpPr>
          <a:spLocks/>
        </xdr:cNvSpPr>
      </xdr:nvSpPr>
      <xdr:spPr>
        <a:xfrm>
          <a:off x="6057900" y="2781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38100</xdr:rowOff>
    </xdr:from>
    <xdr:to>
      <xdr:col>8</xdr:col>
      <xdr:colOff>9525</xdr:colOff>
      <xdr:row>2</xdr:row>
      <xdr:rowOff>133350</xdr:rowOff>
    </xdr:to>
    <xdr:sp>
      <xdr:nvSpPr>
        <xdr:cNvPr id="15" name="Rectangle 22"/>
        <xdr:cNvSpPr>
          <a:spLocks/>
        </xdr:cNvSpPr>
      </xdr:nvSpPr>
      <xdr:spPr>
        <a:xfrm>
          <a:off x="4657725" y="247650"/>
          <a:ext cx="2066925" cy="95250"/>
        </a:xfrm>
        <a:prstGeom prst="rect">
          <a:avLst/>
        </a:prstGeom>
        <a:pattFill prst="dkVert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419100</xdr:colOff>
      <xdr:row>5</xdr:row>
      <xdr:rowOff>28575</xdr:rowOff>
    </xdr:from>
    <xdr:to>
      <xdr:col>6</xdr:col>
      <xdr:colOff>438150</xdr:colOff>
      <xdr:row>5</xdr:row>
      <xdr:rowOff>38100</xdr:rowOff>
    </xdr:to>
    <xdr:sp>
      <xdr:nvSpPr>
        <xdr:cNvPr id="16" name="Arc 24"/>
        <xdr:cNvSpPr>
          <a:spLocks/>
        </xdr:cNvSpPr>
      </xdr:nvSpPr>
      <xdr:spPr>
        <a:xfrm flipH="1">
          <a:off x="5762625" y="781050"/>
          <a:ext cx="19050" cy="95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657225</xdr:colOff>
      <xdr:row>4</xdr:row>
      <xdr:rowOff>28575</xdr:rowOff>
    </xdr:from>
    <xdr:to>
      <xdr:col>7</xdr:col>
      <xdr:colOff>666750</xdr:colOff>
      <xdr:row>4</xdr:row>
      <xdr:rowOff>28575</xdr:rowOff>
    </xdr:to>
    <xdr:sp>
      <xdr:nvSpPr>
        <xdr:cNvPr id="17" name="Arc 25"/>
        <xdr:cNvSpPr>
          <a:spLocks/>
        </xdr:cNvSpPr>
      </xdr:nvSpPr>
      <xdr:spPr>
        <a:xfrm flipH="1" flipV="1">
          <a:off x="6686550" y="590550"/>
          <a:ext cx="9525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sp>
      <xdr:nvSpPr>
        <xdr:cNvPr id="18" name="Oval 30"/>
        <xdr:cNvSpPr>
          <a:spLocks/>
        </xdr:cNvSpPr>
      </xdr:nvSpPr>
      <xdr:spPr>
        <a:xfrm>
          <a:off x="4657725" y="1981200"/>
          <a:ext cx="9525" cy="95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38100</xdr:rowOff>
    </xdr:from>
    <xdr:to>
      <xdr:col>6</xdr:col>
      <xdr:colOff>666750</xdr:colOff>
      <xdr:row>10</xdr:row>
      <xdr:rowOff>0</xdr:rowOff>
    </xdr:to>
    <xdr:sp>
      <xdr:nvSpPr>
        <xdr:cNvPr id="19" name="Arc 35"/>
        <xdr:cNvSpPr>
          <a:spLocks/>
        </xdr:cNvSpPr>
      </xdr:nvSpPr>
      <xdr:spPr>
        <a:xfrm flipV="1">
          <a:off x="5200650" y="1276350"/>
          <a:ext cx="809625" cy="3048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676275</xdr:colOff>
      <xdr:row>14</xdr:row>
      <xdr:rowOff>0</xdr:rowOff>
    </xdr:from>
    <xdr:to>
      <xdr:col>4</xdr:col>
      <xdr:colOff>685800</xdr:colOff>
      <xdr:row>14</xdr:row>
      <xdr:rowOff>19050</xdr:rowOff>
    </xdr:to>
    <xdr:sp>
      <xdr:nvSpPr>
        <xdr:cNvPr id="20" name="Arc 36"/>
        <xdr:cNvSpPr>
          <a:spLocks/>
        </xdr:cNvSpPr>
      </xdr:nvSpPr>
      <xdr:spPr>
        <a:xfrm flipV="1">
          <a:off x="4581525" y="2381250"/>
          <a:ext cx="9525" cy="190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9525</xdr:colOff>
      <xdr:row>14</xdr:row>
      <xdr:rowOff>19050</xdr:rowOff>
    </xdr:to>
    <xdr:sp>
      <xdr:nvSpPr>
        <xdr:cNvPr id="21" name="Arc 40"/>
        <xdr:cNvSpPr>
          <a:spLocks/>
        </xdr:cNvSpPr>
      </xdr:nvSpPr>
      <xdr:spPr>
        <a:xfrm flipV="1">
          <a:off x="4657725" y="2381250"/>
          <a:ext cx="9525" cy="190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695325</xdr:colOff>
      <xdr:row>6</xdr:row>
      <xdr:rowOff>0</xdr:rowOff>
    </xdr:from>
    <xdr:to>
      <xdr:col>7</xdr:col>
      <xdr:colOff>676275</xdr:colOff>
      <xdr:row>13</xdr:row>
      <xdr:rowOff>180975</xdr:rowOff>
    </xdr:to>
    <xdr:sp>
      <xdr:nvSpPr>
        <xdr:cNvPr id="22" name="Line 45"/>
        <xdr:cNvSpPr>
          <a:spLocks/>
        </xdr:cNvSpPr>
      </xdr:nvSpPr>
      <xdr:spPr>
        <a:xfrm flipV="1">
          <a:off x="4600575" y="914400"/>
          <a:ext cx="2105025" cy="14382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542925</xdr:colOff>
      <xdr:row>7</xdr:row>
      <xdr:rowOff>152400</xdr:rowOff>
    </xdr:from>
    <xdr:to>
      <xdr:col>6</xdr:col>
      <xdr:colOff>676275</xdr:colOff>
      <xdr:row>8</xdr:row>
      <xdr:rowOff>133350</xdr:rowOff>
    </xdr:to>
    <xdr:sp>
      <xdr:nvSpPr>
        <xdr:cNvPr id="23" name="Line 48"/>
        <xdr:cNvSpPr>
          <a:spLocks/>
        </xdr:cNvSpPr>
      </xdr:nvSpPr>
      <xdr:spPr>
        <a:xfrm>
          <a:off x="5886450" y="1228725"/>
          <a:ext cx="133350" cy="1428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152400</xdr:rowOff>
    </xdr:from>
    <xdr:to>
      <xdr:col>6</xdr:col>
      <xdr:colOff>523875</xdr:colOff>
      <xdr:row>13</xdr:row>
      <xdr:rowOff>9525</xdr:rowOff>
    </xdr:to>
    <xdr:sp>
      <xdr:nvSpPr>
        <xdr:cNvPr id="24" name="Line 50"/>
        <xdr:cNvSpPr>
          <a:spLocks/>
        </xdr:cNvSpPr>
      </xdr:nvSpPr>
      <xdr:spPr>
        <a:xfrm flipV="1">
          <a:off x="4448175" y="1228725"/>
          <a:ext cx="14192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695325</xdr:colOff>
      <xdr:row>7</xdr:row>
      <xdr:rowOff>142875</xdr:rowOff>
    </xdr:from>
    <xdr:to>
      <xdr:col>6</xdr:col>
      <xdr:colOff>533400</xdr:colOff>
      <xdr:row>13</xdr:row>
      <xdr:rowOff>152400</xdr:rowOff>
    </xdr:to>
    <xdr:sp>
      <xdr:nvSpPr>
        <xdr:cNvPr id="25" name="Arc 51"/>
        <xdr:cNvSpPr>
          <a:spLocks/>
        </xdr:cNvSpPr>
      </xdr:nvSpPr>
      <xdr:spPr>
        <a:xfrm flipV="1">
          <a:off x="4600575" y="1219200"/>
          <a:ext cx="1276350" cy="11049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542925</xdr:colOff>
      <xdr:row>6</xdr:row>
      <xdr:rowOff>85725</xdr:rowOff>
    </xdr:from>
    <xdr:to>
      <xdr:col>8</xdr:col>
      <xdr:colOff>9525</xdr:colOff>
      <xdr:row>8</xdr:row>
      <xdr:rowOff>28575</xdr:rowOff>
    </xdr:to>
    <xdr:sp>
      <xdr:nvSpPr>
        <xdr:cNvPr id="26" name="Arc 53"/>
        <xdr:cNvSpPr>
          <a:spLocks/>
        </xdr:cNvSpPr>
      </xdr:nvSpPr>
      <xdr:spPr>
        <a:xfrm flipV="1">
          <a:off x="5886450" y="1000125"/>
          <a:ext cx="838200" cy="2667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152400</xdr:colOff>
      <xdr:row>13</xdr:row>
      <xdr:rowOff>38100</xdr:rowOff>
    </xdr:from>
    <xdr:to>
      <xdr:col>5</xdr:col>
      <xdr:colOff>238125</xdr:colOff>
      <xdr:row>13</xdr:row>
      <xdr:rowOff>133350</xdr:rowOff>
    </xdr:to>
    <xdr:sp>
      <xdr:nvSpPr>
        <xdr:cNvPr id="27" name="Line 68"/>
        <xdr:cNvSpPr>
          <a:spLocks/>
        </xdr:cNvSpPr>
      </xdr:nvSpPr>
      <xdr:spPr>
        <a:xfrm>
          <a:off x="4810125" y="22098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266700</xdr:colOff>
      <xdr:row>12</xdr:row>
      <xdr:rowOff>133350</xdr:rowOff>
    </xdr:from>
    <xdr:to>
      <xdr:col>5</xdr:col>
      <xdr:colOff>371475</xdr:colOff>
      <xdr:row>13</xdr:row>
      <xdr:rowOff>85725</xdr:rowOff>
    </xdr:to>
    <xdr:sp>
      <xdr:nvSpPr>
        <xdr:cNvPr id="28" name="Line 69"/>
        <xdr:cNvSpPr>
          <a:spLocks/>
        </xdr:cNvSpPr>
      </xdr:nvSpPr>
      <xdr:spPr>
        <a:xfrm>
          <a:off x="4924425" y="2114550"/>
          <a:ext cx="1047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409575</xdr:colOff>
      <xdr:row>12</xdr:row>
      <xdr:rowOff>76200</xdr:rowOff>
    </xdr:from>
    <xdr:to>
      <xdr:col>5</xdr:col>
      <xdr:colOff>514350</xdr:colOff>
      <xdr:row>13</xdr:row>
      <xdr:rowOff>38100</xdr:rowOff>
    </xdr:to>
    <xdr:sp>
      <xdr:nvSpPr>
        <xdr:cNvPr id="29" name="Line 70"/>
        <xdr:cNvSpPr>
          <a:spLocks/>
        </xdr:cNvSpPr>
      </xdr:nvSpPr>
      <xdr:spPr>
        <a:xfrm>
          <a:off x="5067300" y="2057400"/>
          <a:ext cx="104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523875</xdr:colOff>
      <xdr:row>11</xdr:row>
      <xdr:rowOff>180975</xdr:rowOff>
    </xdr:from>
    <xdr:to>
      <xdr:col>5</xdr:col>
      <xdr:colOff>657225</xdr:colOff>
      <xdr:row>12</xdr:row>
      <xdr:rowOff>152400</xdr:rowOff>
    </xdr:to>
    <xdr:sp>
      <xdr:nvSpPr>
        <xdr:cNvPr id="30" name="Line 71"/>
        <xdr:cNvSpPr>
          <a:spLocks/>
        </xdr:cNvSpPr>
      </xdr:nvSpPr>
      <xdr:spPr>
        <a:xfrm>
          <a:off x="5181600" y="1971675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647700</xdr:colOff>
      <xdr:row>11</xdr:row>
      <xdr:rowOff>85725</xdr:rowOff>
    </xdr:from>
    <xdr:to>
      <xdr:col>6</xdr:col>
      <xdr:colOff>95250</xdr:colOff>
      <xdr:row>12</xdr:row>
      <xdr:rowOff>57150</xdr:rowOff>
    </xdr:to>
    <xdr:sp>
      <xdr:nvSpPr>
        <xdr:cNvPr id="31" name="Line 72"/>
        <xdr:cNvSpPr>
          <a:spLocks/>
        </xdr:cNvSpPr>
      </xdr:nvSpPr>
      <xdr:spPr>
        <a:xfrm>
          <a:off x="5305425" y="1876425"/>
          <a:ext cx="133350" cy="1619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95250</xdr:colOff>
      <xdr:row>11</xdr:row>
      <xdr:rowOff>0</xdr:rowOff>
    </xdr:from>
    <xdr:to>
      <xdr:col>6</xdr:col>
      <xdr:colOff>219075</xdr:colOff>
      <xdr:row>11</xdr:row>
      <xdr:rowOff>142875</xdr:rowOff>
    </xdr:to>
    <xdr:sp>
      <xdr:nvSpPr>
        <xdr:cNvPr id="32" name="Line 73"/>
        <xdr:cNvSpPr>
          <a:spLocks/>
        </xdr:cNvSpPr>
      </xdr:nvSpPr>
      <xdr:spPr>
        <a:xfrm>
          <a:off x="5438775" y="1790700"/>
          <a:ext cx="1143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219075</xdr:colOff>
      <xdr:row>10</xdr:row>
      <xdr:rowOff>114300</xdr:rowOff>
    </xdr:from>
    <xdr:to>
      <xdr:col>6</xdr:col>
      <xdr:colOff>333375</xdr:colOff>
      <xdr:row>11</xdr:row>
      <xdr:rowOff>57150</xdr:rowOff>
    </xdr:to>
    <xdr:sp>
      <xdr:nvSpPr>
        <xdr:cNvPr id="33" name="Line 74"/>
        <xdr:cNvSpPr>
          <a:spLocks/>
        </xdr:cNvSpPr>
      </xdr:nvSpPr>
      <xdr:spPr>
        <a:xfrm>
          <a:off x="5562600" y="1695450"/>
          <a:ext cx="1143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352425</xdr:colOff>
      <xdr:row>10</xdr:row>
      <xdr:rowOff>38100</xdr:rowOff>
    </xdr:from>
    <xdr:to>
      <xdr:col>6</xdr:col>
      <xdr:colOff>428625</xdr:colOff>
      <xdr:row>10</xdr:row>
      <xdr:rowOff>123825</xdr:rowOff>
    </xdr:to>
    <xdr:sp>
      <xdr:nvSpPr>
        <xdr:cNvPr id="34" name="Line 75"/>
        <xdr:cNvSpPr>
          <a:spLocks/>
        </xdr:cNvSpPr>
      </xdr:nvSpPr>
      <xdr:spPr>
        <a:xfrm>
          <a:off x="5695950" y="1619250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533400</xdr:colOff>
      <xdr:row>8</xdr:row>
      <xdr:rowOff>85725</xdr:rowOff>
    </xdr:from>
    <xdr:to>
      <xdr:col>6</xdr:col>
      <xdr:colOff>600075</xdr:colOff>
      <xdr:row>9</xdr:row>
      <xdr:rowOff>19050</xdr:rowOff>
    </xdr:to>
    <xdr:sp>
      <xdr:nvSpPr>
        <xdr:cNvPr id="35" name="Line 76"/>
        <xdr:cNvSpPr>
          <a:spLocks/>
        </xdr:cNvSpPr>
      </xdr:nvSpPr>
      <xdr:spPr>
        <a:xfrm>
          <a:off x="5876925" y="1323975"/>
          <a:ext cx="666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647700</xdr:colOff>
      <xdr:row>8</xdr:row>
      <xdr:rowOff>152400</xdr:rowOff>
    </xdr:from>
    <xdr:to>
      <xdr:col>7</xdr:col>
      <xdr:colOff>28575</xdr:colOff>
      <xdr:row>9</xdr:row>
      <xdr:rowOff>85725</xdr:rowOff>
    </xdr:to>
    <xdr:sp>
      <xdr:nvSpPr>
        <xdr:cNvPr id="36" name="Line 77"/>
        <xdr:cNvSpPr>
          <a:spLocks/>
        </xdr:cNvSpPr>
      </xdr:nvSpPr>
      <xdr:spPr>
        <a:xfrm>
          <a:off x="5991225" y="1390650"/>
          <a:ext cx="666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390525</xdr:colOff>
      <xdr:row>7</xdr:row>
      <xdr:rowOff>38100</xdr:rowOff>
    </xdr:from>
    <xdr:to>
      <xdr:col>7</xdr:col>
      <xdr:colOff>447675</xdr:colOff>
      <xdr:row>7</xdr:row>
      <xdr:rowOff>123825</xdr:rowOff>
    </xdr:to>
    <xdr:sp>
      <xdr:nvSpPr>
        <xdr:cNvPr id="37" name="Line 78"/>
        <xdr:cNvSpPr>
          <a:spLocks/>
        </xdr:cNvSpPr>
      </xdr:nvSpPr>
      <xdr:spPr>
        <a:xfrm>
          <a:off x="6419850" y="1114425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504825</xdr:colOff>
      <xdr:row>8</xdr:row>
      <xdr:rowOff>114300</xdr:rowOff>
    </xdr:from>
    <xdr:to>
      <xdr:col>6</xdr:col>
      <xdr:colOff>542925</xdr:colOff>
      <xdr:row>9</xdr:row>
      <xdr:rowOff>28575</xdr:rowOff>
    </xdr:to>
    <xdr:sp>
      <xdr:nvSpPr>
        <xdr:cNvPr id="38" name="Line 79"/>
        <xdr:cNvSpPr>
          <a:spLocks/>
        </xdr:cNvSpPr>
      </xdr:nvSpPr>
      <xdr:spPr>
        <a:xfrm>
          <a:off x="5848350" y="1352550"/>
          <a:ext cx="476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676275</xdr:colOff>
      <xdr:row>8</xdr:row>
      <xdr:rowOff>152400</xdr:rowOff>
    </xdr:from>
    <xdr:to>
      <xdr:col>7</xdr:col>
      <xdr:colOff>0</xdr:colOff>
      <xdr:row>13</xdr:row>
      <xdr:rowOff>200025</xdr:rowOff>
    </xdr:to>
    <xdr:sp>
      <xdr:nvSpPr>
        <xdr:cNvPr id="39" name="Line 82"/>
        <xdr:cNvSpPr>
          <a:spLocks/>
        </xdr:cNvSpPr>
      </xdr:nvSpPr>
      <xdr:spPr>
        <a:xfrm>
          <a:off x="6019800" y="1390650"/>
          <a:ext cx="95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8</xdr:row>
      <xdr:rowOff>28575</xdr:rowOff>
    </xdr:from>
    <xdr:to>
      <xdr:col>7</xdr:col>
      <xdr:colOff>95250</xdr:colOff>
      <xdr:row>8</xdr:row>
      <xdr:rowOff>104775</xdr:rowOff>
    </xdr:to>
    <xdr:sp>
      <xdr:nvSpPr>
        <xdr:cNvPr id="40" name="Line 83"/>
        <xdr:cNvSpPr>
          <a:spLocks/>
        </xdr:cNvSpPr>
      </xdr:nvSpPr>
      <xdr:spPr>
        <a:xfrm>
          <a:off x="6057900" y="1266825"/>
          <a:ext cx="66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66675</xdr:rowOff>
    </xdr:from>
    <xdr:to>
      <xdr:col>7</xdr:col>
      <xdr:colOff>9525</xdr:colOff>
      <xdr:row>16</xdr:row>
      <xdr:rowOff>66675</xdr:rowOff>
    </xdr:to>
    <xdr:sp>
      <xdr:nvSpPr>
        <xdr:cNvPr id="41" name="Line 84"/>
        <xdr:cNvSpPr>
          <a:spLocks/>
        </xdr:cNvSpPr>
      </xdr:nvSpPr>
      <xdr:spPr>
        <a:xfrm>
          <a:off x="6038850" y="24479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114300</xdr:rowOff>
    </xdr:from>
    <xdr:to>
      <xdr:col>7</xdr:col>
      <xdr:colOff>314325</xdr:colOff>
      <xdr:row>8</xdr:row>
      <xdr:rowOff>114300</xdr:rowOff>
    </xdr:to>
    <xdr:sp>
      <xdr:nvSpPr>
        <xdr:cNvPr id="42" name="Line 85"/>
        <xdr:cNvSpPr>
          <a:spLocks/>
        </xdr:cNvSpPr>
      </xdr:nvSpPr>
      <xdr:spPr>
        <a:xfrm flipV="1">
          <a:off x="6076950" y="1190625"/>
          <a:ext cx="266700" cy="161925"/>
        </a:xfrm>
        <a:prstGeom prst="line">
          <a:avLst/>
        </a:prstGeom>
        <a:noFill/>
        <a:ln w="381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457200</xdr:colOff>
      <xdr:row>7</xdr:row>
      <xdr:rowOff>19050</xdr:rowOff>
    </xdr:from>
    <xdr:to>
      <xdr:col>7</xdr:col>
      <xdr:colOff>523875</xdr:colOff>
      <xdr:row>7</xdr:row>
      <xdr:rowOff>85725</xdr:rowOff>
    </xdr:to>
    <xdr:sp>
      <xdr:nvSpPr>
        <xdr:cNvPr id="43" name="Line 88"/>
        <xdr:cNvSpPr>
          <a:spLocks/>
        </xdr:cNvSpPr>
      </xdr:nvSpPr>
      <xdr:spPr>
        <a:xfrm>
          <a:off x="6486525" y="109537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523875</xdr:colOff>
      <xdr:row>6</xdr:row>
      <xdr:rowOff>142875</xdr:rowOff>
    </xdr:from>
    <xdr:to>
      <xdr:col>7</xdr:col>
      <xdr:colOff>590550</xdr:colOff>
      <xdr:row>7</xdr:row>
      <xdr:rowOff>66675</xdr:rowOff>
    </xdr:to>
    <xdr:sp>
      <xdr:nvSpPr>
        <xdr:cNvPr id="44" name="Line 89"/>
        <xdr:cNvSpPr>
          <a:spLocks/>
        </xdr:cNvSpPr>
      </xdr:nvSpPr>
      <xdr:spPr>
        <a:xfrm>
          <a:off x="6553200" y="1057275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590550</xdr:colOff>
      <xdr:row>6</xdr:row>
      <xdr:rowOff>104775</xdr:rowOff>
    </xdr:from>
    <xdr:to>
      <xdr:col>7</xdr:col>
      <xdr:colOff>628650</xdr:colOff>
      <xdr:row>7</xdr:row>
      <xdr:rowOff>19050</xdr:rowOff>
    </xdr:to>
    <xdr:sp>
      <xdr:nvSpPr>
        <xdr:cNvPr id="45" name="Line 90"/>
        <xdr:cNvSpPr>
          <a:spLocks/>
        </xdr:cNvSpPr>
      </xdr:nvSpPr>
      <xdr:spPr>
        <a:xfrm>
          <a:off x="6619875" y="1019175"/>
          <a:ext cx="47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171450</xdr:colOff>
      <xdr:row>10</xdr:row>
      <xdr:rowOff>171450</xdr:rowOff>
    </xdr:from>
    <xdr:to>
      <xdr:col>6</xdr:col>
      <xdr:colOff>285750</xdr:colOff>
      <xdr:row>11</xdr:row>
      <xdr:rowOff>104775</xdr:rowOff>
    </xdr:to>
    <xdr:sp>
      <xdr:nvSpPr>
        <xdr:cNvPr id="46" name="Line 91"/>
        <xdr:cNvSpPr>
          <a:spLocks/>
        </xdr:cNvSpPr>
      </xdr:nvSpPr>
      <xdr:spPr>
        <a:xfrm>
          <a:off x="5514975" y="1752600"/>
          <a:ext cx="1143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57150</xdr:rowOff>
    </xdr:from>
    <xdr:to>
      <xdr:col>6</xdr:col>
      <xdr:colOff>171450</xdr:colOff>
      <xdr:row>12</xdr:row>
      <xdr:rowOff>0</xdr:rowOff>
    </xdr:to>
    <xdr:sp>
      <xdr:nvSpPr>
        <xdr:cNvPr id="47" name="Line 92"/>
        <xdr:cNvSpPr>
          <a:spLocks/>
        </xdr:cNvSpPr>
      </xdr:nvSpPr>
      <xdr:spPr>
        <a:xfrm>
          <a:off x="5391150" y="1847850"/>
          <a:ext cx="133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76200</xdr:rowOff>
    </xdr:from>
    <xdr:to>
      <xdr:col>6</xdr:col>
      <xdr:colOff>400050</xdr:colOff>
      <xdr:row>11</xdr:row>
      <xdr:rowOff>9525</xdr:rowOff>
    </xdr:to>
    <xdr:sp>
      <xdr:nvSpPr>
        <xdr:cNvPr id="48" name="Line 93"/>
        <xdr:cNvSpPr>
          <a:spLocks/>
        </xdr:cNvSpPr>
      </xdr:nvSpPr>
      <xdr:spPr>
        <a:xfrm>
          <a:off x="5610225" y="16573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581025</xdr:colOff>
      <xdr:row>11</xdr:row>
      <xdr:rowOff>123825</xdr:rowOff>
    </xdr:from>
    <xdr:to>
      <xdr:col>6</xdr:col>
      <xdr:colOff>47625</xdr:colOff>
      <xdr:row>12</xdr:row>
      <xdr:rowOff>114300</xdr:rowOff>
    </xdr:to>
    <xdr:sp>
      <xdr:nvSpPr>
        <xdr:cNvPr id="49" name="Line 94"/>
        <xdr:cNvSpPr>
          <a:spLocks/>
        </xdr:cNvSpPr>
      </xdr:nvSpPr>
      <xdr:spPr>
        <a:xfrm>
          <a:off x="5238750" y="1914525"/>
          <a:ext cx="1524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476250</xdr:colOff>
      <xdr:row>12</xdr:row>
      <xdr:rowOff>47625</xdr:rowOff>
    </xdr:from>
    <xdr:to>
      <xdr:col>5</xdr:col>
      <xdr:colOff>581025</xdr:colOff>
      <xdr:row>12</xdr:row>
      <xdr:rowOff>180975</xdr:rowOff>
    </xdr:to>
    <xdr:sp>
      <xdr:nvSpPr>
        <xdr:cNvPr id="50" name="Line 95"/>
        <xdr:cNvSpPr>
          <a:spLocks/>
        </xdr:cNvSpPr>
      </xdr:nvSpPr>
      <xdr:spPr>
        <a:xfrm>
          <a:off x="5133975" y="2028825"/>
          <a:ext cx="1047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342900</xdr:colOff>
      <xdr:row>12</xdr:row>
      <xdr:rowOff>95250</xdr:rowOff>
    </xdr:from>
    <xdr:to>
      <xdr:col>5</xdr:col>
      <xdr:colOff>447675</xdr:colOff>
      <xdr:row>13</xdr:row>
      <xdr:rowOff>57150</xdr:rowOff>
    </xdr:to>
    <xdr:sp>
      <xdr:nvSpPr>
        <xdr:cNvPr id="51" name="Line 96"/>
        <xdr:cNvSpPr>
          <a:spLocks/>
        </xdr:cNvSpPr>
      </xdr:nvSpPr>
      <xdr:spPr>
        <a:xfrm>
          <a:off x="5000625" y="2076450"/>
          <a:ext cx="104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12</xdr:row>
      <xdr:rowOff>152400</xdr:rowOff>
    </xdr:from>
    <xdr:to>
      <xdr:col>5</xdr:col>
      <xdr:colOff>314325</xdr:colOff>
      <xdr:row>13</xdr:row>
      <xdr:rowOff>104775</xdr:rowOff>
    </xdr:to>
    <xdr:sp>
      <xdr:nvSpPr>
        <xdr:cNvPr id="52" name="Line 97"/>
        <xdr:cNvSpPr>
          <a:spLocks/>
        </xdr:cNvSpPr>
      </xdr:nvSpPr>
      <xdr:spPr>
        <a:xfrm>
          <a:off x="4857750" y="2133600"/>
          <a:ext cx="1047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76200</xdr:colOff>
      <xdr:row>13</xdr:row>
      <xdr:rowOff>66675</xdr:rowOff>
    </xdr:from>
    <xdr:to>
      <xdr:col>5</xdr:col>
      <xdr:colOff>161925</xdr:colOff>
      <xdr:row>13</xdr:row>
      <xdr:rowOff>161925</xdr:rowOff>
    </xdr:to>
    <xdr:sp>
      <xdr:nvSpPr>
        <xdr:cNvPr id="53" name="Line 98"/>
        <xdr:cNvSpPr>
          <a:spLocks/>
        </xdr:cNvSpPr>
      </xdr:nvSpPr>
      <xdr:spPr>
        <a:xfrm>
          <a:off x="4733925" y="22383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333375</xdr:colOff>
      <xdr:row>7</xdr:row>
      <xdr:rowOff>66675</xdr:rowOff>
    </xdr:from>
    <xdr:to>
      <xdr:col>7</xdr:col>
      <xdr:colOff>400050</xdr:colOff>
      <xdr:row>7</xdr:row>
      <xdr:rowOff>152400</xdr:rowOff>
    </xdr:to>
    <xdr:sp>
      <xdr:nvSpPr>
        <xdr:cNvPr id="54" name="Line 99"/>
        <xdr:cNvSpPr>
          <a:spLocks/>
        </xdr:cNvSpPr>
      </xdr:nvSpPr>
      <xdr:spPr>
        <a:xfrm>
          <a:off x="6362700" y="1143000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647700</xdr:colOff>
      <xdr:row>8</xdr:row>
      <xdr:rowOff>19050</xdr:rowOff>
    </xdr:from>
    <xdr:to>
      <xdr:col>7</xdr:col>
      <xdr:colOff>9525</xdr:colOff>
      <xdr:row>8</xdr:row>
      <xdr:rowOff>104775</xdr:rowOff>
    </xdr:to>
    <xdr:sp>
      <xdr:nvSpPr>
        <xdr:cNvPr id="55" name="Line 100"/>
        <xdr:cNvSpPr>
          <a:spLocks/>
        </xdr:cNvSpPr>
      </xdr:nvSpPr>
      <xdr:spPr>
        <a:xfrm>
          <a:off x="5991225" y="1257300"/>
          <a:ext cx="476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9525</xdr:rowOff>
    </xdr:from>
    <xdr:to>
      <xdr:col>8</xdr:col>
      <xdr:colOff>0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4600575" y="876300"/>
          <a:ext cx="1371600" cy="714375"/>
        </a:xfrm>
        <a:prstGeom prst="line">
          <a:avLst/>
        </a:prstGeom>
        <a:noFill/>
        <a:ln w="285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19050</xdr:rowOff>
    </xdr:from>
    <xdr:to>
      <xdr:col>10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5972175" y="885825"/>
          <a:ext cx="1381125" cy="695325"/>
        </a:xfrm>
        <a:prstGeom prst="line">
          <a:avLst/>
        </a:prstGeom>
        <a:noFill/>
        <a:ln w="2857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647700</xdr:colOff>
      <xdr:row>3</xdr:row>
      <xdr:rowOff>38100</xdr:rowOff>
    </xdr:from>
    <xdr:to>
      <xdr:col>9</xdr:col>
      <xdr:colOff>657225</xdr:colOff>
      <xdr:row>3</xdr:row>
      <xdr:rowOff>114300</xdr:rowOff>
    </xdr:to>
    <xdr:sp>
      <xdr:nvSpPr>
        <xdr:cNvPr id="3" name="Rectangle 6" descr="Темный вертикальный"/>
        <xdr:cNvSpPr>
          <a:spLocks/>
        </xdr:cNvSpPr>
      </xdr:nvSpPr>
      <xdr:spPr>
        <a:xfrm>
          <a:off x="4562475" y="542925"/>
          <a:ext cx="2743200" cy="76200"/>
        </a:xfrm>
        <a:prstGeom prst="rect">
          <a:avLst/>
        </a:prstGeom>
        <a:pattFill prst="dkVert">
          <a:fgClr>
            <a:srgbClr val="000000"/>
          </a:fgClr>
          <a:bgClr>
            <a:srgbClr val="FFFFCC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13</xdr:row>
      <xdr:rowOff>85725</xdr:rowOff>
    </xdr:to>
    <xdr:sp>
      <xdr:nvSpPr>
        <xdr:cNvPr id="4" name="Line 7"/>
        <xdr:cNvSpPr>
          <a:spLocks/>
        </xdr:cNvSpPr>
      </xdr:nvSpPr>
      <xdr:spPr>
        <a:xfrm>
          <a:off x="4600575" y="1600200"/>
          <a:ext cx="0" cy="87630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19050</xdr:rowOff>
    </xdr:from>
    <xdr:to>
      <xdr:col>10</xdr:col>
      <xdr:colOff>0</xdr:colOff>
      <xdr:row>13</xdr:row>
      <xdr:rowOff>57150</xdr:rowOff>
    </xdr:to>
    <xdr:sp>
      <xdr:nvSpPr>
        <xdr:cNvPr id="5" name="Line 8"/>
        <xdr:cNvSpPr>
          <a:spLocks/>
        </xdr:cNvSpPr>
      </xdr:nvSpPr>
      <xdr:spPr>
        <a:xfrm>
          <a:off x="7353300" y="1600200"/>
          <a:ext cx="0" cy="847725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6" name="Line 9"/>
        <xdr:cNvSpPr>
          <a:spLocks/>
        </xdr:cNvSpPr>
      </xdr:nvSpPr>
      <xdr:spPr>
        <a:xfrm>
          <a:off x="4600575" y="2390775"/>
          <a:ext cx="2752725" cy="0"/>
        </a:xfrm>
        <a:prstGeom prst="line">
          <a:avLst/>
        </a:prstGeom>
        <a:noFill/>
        <a:ln w="127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342900</xdr:colOff>
      <xdr:row>5</xdr:row>
      <xdr:rowOff>9525</xdr:rowOff>
    </xdr:from>
    <xdr:to>
      <xdr:col>6</xdr:col>
      <xdr:colOff>190500</xdr:colOff>
      <xdr:row>5</xdr:row>
      <xdr:rowOff>9525</xdr:rowOff>
    </xdr:to>
    <xdr:sp>
      <xdr:nvSpPr>
        <xdr:cNvPr id="7" name="Line 14"/>
        <xdr:cNvSpPr>
          <a:spLocks/>
        </xdr:cNvSpPr>
      </xdr:nvSpPr>
      <xdr:spPr>
        <a:xfrm>
          <a:off x="3714750" y="876300"/>
          <a:ext cx="107632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381000</xdr:colOff>
      <xdr:row>9</xdr:row>
      <xdr:rowOff>0</xdr:rowOff>
    </xdr:from>
    <xdr:to>
      <xdr:col>5</xdr:col>
      <xdr:colOff>571500</xdr:colOff>
      <xdr:row>9</xdr:row>
      <xdr:rowOff>0</xdr:rowOff>
    </xdr:to>
    <xdr:sp>
      <xdr:nvSpPr>
        <xdr:cNvPr id="8" name="Line 15"/>
        <xdr:cNvSpPr>
          <a:spLocks/>
        </xdr:cNvSpPr>
      </xdr:nvSpPr>
      <xdr:spPr>
        <a:xfrm>
          <a:off x="3752850" y="1581150"/>
          <a:ext cx="73342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419100</xdr:colOff>
      <xdr:row>8</xdr:row>
      <xdr:rowOff>0</xdr:rowOff>
    </xdr:from>
    <xdr:to>
      <xdr:col>9</xdr:col>
      <xdr:colOff>247650</xdr:colOff>
      <xdr:row>8</xdr:row>
      <xdr:rowOff>0</xdr:rowOff>
    </xdr:to>
    <xdr:sp>
      <xdr:nvSpPr>
        <xdr:cNvPr id="9" name="Line 18"/>
        <xdr:cNvSpPr>
          <a:spLocks/>
        </xdr:cNvSpPr>
      </xdr:nvSpPr>
      <xdr:spPr>
        <a:xfrm>
          <a:off x="5019675" y="1409700"/>
          <a:ext cx="1876425" cy="0"/>
        </a:xfrm>
        <a:prstGeom prst="line">
          <a:avLst/>
        </a:prstGeom>
        <a:noFill/>
        <a:ln w="2857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428625</xdr:colOff>
      <xdr:row>8</xdr:row>
      <xdr:rowOff>133350</xdr:rowOff>
    </xdr:from>
    <xdr:to>
      <xdr:col>6</xdr:col>
      <xdr:colOff>428625</xdr:colOff>
      <xdr:row>11</xdr:row>
      <xdr:rowOff>152400</xdr:rowOff>
    </xdr:to>
    <xdr:sp>
      <xdr:nvSpPr>
        <xdr:cNvPr id="10" name="Line 19"/>
        <xdr:cNvSpPr>
          <a:spLocks/>
        </xdr:cNvSpPr>
      </xdr:nvSpPr>
      <xdr:spPr>
        <a:xfrm>
          <a:off x="5029200" y="1543050"/>
          <a:ext cx="0" cy="600075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66675</xdr:rowOff>
    </xdr:from>
    <xdr:to>
      <xdr:col>6</xdr:col>
      <xdr:colOff>419100</xdr:colOff>
      <xdr:row>11</xdr:row>
      <xdr:rowOff>66675</xdr:rowOff>
    </xdr:to>
    <xdr:sp>
      <xdr:nvSpPr>
        <xdr:cNvPr id="11" name="Line 20"/>
        <xdr:cNvSpPr>
          <a:spLocks/>
        </xdr:cNvSpPr>
      </xdr:nvSpPr>
      <xdr:spPr>
        <a:xfrm>
          <a:off x="4600575" y="2057400"/>
          <a:ext cx="419100" cy="0"/>
        </a:xfrm>
        <a:prstGeom prst="line">
          <a:avLst/>
        </a:prstGeom>
        <a:noFill/>
        <a:ln w="127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571500</xdr:colOff>
      <xdr:row>8</xdr:row>
      <xdr:rowOff>9525</xdr:rowOff>
    </xdr:from>
    <xdr:to>
      <xdr:col>6</xdr:col>
      <xdr:colOff>266700</xdr:colOff>
      <xdr:row>8</xdr:row>
      <xdr:rowOff>9525</xdr:rowOff>
    </xdr:to>
    <xdr:sp>
      <xdr:nvSpPr>
        <xdr:cNvPr id="12" name="Line 21"/>
        <xdr:cNvSpPr>
          <a:spLocks/>
        </xdr:cNvSpPr>
      </xdr:nvSpPr>
      <xdr:spPr>
        <a:xfrm>
          <a:off x="4486275" y="1419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9525</xdr:rowOff>
    </xdr:from>
    <xdr:to>
      <xdr:col>6</xdr:col>
      <xdr:colOff>0</xdr:colOff>
      <xdr:row>8</xdr:row>
      <xdr:rowOff>19050</xdr:rowOff>
    </xdr:to>
    <xdr:sp>
      <xdr:nvSpPr>
        <xdr:cNvPr id="13" name="Line 22"/>
        <xdr:cNvSpPr>
          <a:spLocks/>
        </xdr:cNvSpPr>
      </xdr:nvSpPr>
      <xdr:spPr>
        <a:xfrm>
          <a:off x="4600575" y="876300"/>
          <a:ext cx="0" cy="552450"/>
        </a:xfrm>
        <a:prstGeom prst="line">
          <a:avLst/>
        </a:prstGeom>
        <a:noFill/>
        <a:ln w="127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5</xdr:col>
      <xdr:colOff>0</xdr:colOff>
      <xdr:row>9</xdr:row>
      <xdr:rowOff>0</xdr:rowOff>
    </xdr:to>
    <xdr:sp>
      <xdr:nvSpPr>
        <xdr:cNvPr id="14" name="Line 23"/>
        <xdr:cNvSpPr>
          <a:spLocks/>
        </xdr:cNvSpPr>
      </xdr:nvSpPr>
      <xdr:spPr>
        <a:xfrm>
          <a:off x="3914775" y="876300"/>
          <a:ext cx="0" cy="704850"/>
        </a:xfrm>
        <a:prstGeom prst="line">
          <a:avLst/>
        </a:prstGeom>
        <a:noFill/>
        <a:ln w="127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38100</xdr:rowOff>
    </xdr:from>
    <xdr:to>
      <xdr:col>6</xdr:col>
      <xdr:colOff>0</xdr:colOff>
      <xdr:row>10</xdr:row>
      <xdr:rowOff>85725</xdr:rowOff>
    </xdr:to>
    <xdr:sp>
      <xdr:nvSpPr>
        <xdr:cNvPr id="15" name="Line 26"/>
        <xdr:cNvSpPr>
          <a:spLocks/>
        </xdr:cNvSpPr>
      </xdr:nvSpPr>
      <xdr:spPr>
        <a:xfrm>
          <a:off x="4600575" y="1619250"/>
          <a:ext cx="0" cy="257175"/>
        </a:xfrm>
        <a:prstGeom prst="line">
          <a:avLst/>
        </a:prstGeom>
        <a:noFill/>
        <a:ln w="190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10</xdr:row>
      <xdr:rowOff>47625</xdr:rowOff>
    </xdr:to>
    <xdr:sp>
      <xdr:nvSpPr>
        <xdr:cNvPr id="16" name="Line 27"/>
        <xdr:cNvSpPr>
          <a:spLocks/>
        </xdr:cNvSpPr>
      </xdr:nvSpPr>
      <xdr:spPr>
        <a:xfrm>
          <a:off x="7353300" y="1581150"/>
          <a:ext cx="0" cy="257175"/>
        </a:xfrm>
        <a:prstGeom prst="line">
          <a:avLst/>
        </a:prstGeom>
        <a:noFill/>
        <a:ln w="190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552450</xdr:colOff>
      <xdr:row>8</xdr:row>
      <xdr:rowOff>0</xdr:rowOff>
    </xdr:from>
    <xdr:to>
      <xdr:col>9</xdr:col>
      <xdr:colOff>285750</xdr:colOff>
      <xdr:row>8</xdr:row>
      <xdr:rowOff>0</xdr:rowOff>
    </xdr:to>
    <xdr:sp>
      <xdr:nvSpPr>
        <xdr:cNvPr id="17" name="Line 71"/>
        <xdr:cNvSpPr>
          <a:spLocks/>
        </xdr:cNvSpPr>
      </xdr:nvSpPr>
      <xdr:spPr>
        <a:xfrm>
          <a:off x="6524625" y="1409700"/>
          <a:ext cx="4095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533400</xdr:colOff>
      <xdr:row>6</xdr:row>
      <xdr:rowOff>104775</xdr:rowOff>
    </xdr:from>
    <xdr:to>
      <xdr:col>9</xdr:col>
      <xdr:colOff>123825</xdr:colOff>
      <xdr:row>7</xdr:row>
      <xdr:rowOff>76200</xdr:rowOff>
    </xdr:to>
    <xdr:sp>
      <xdr:nvSpPr>
        <xdr:cNvPr id="18" name="Line 72"/>
        <xdr:cNvSpPr>
          <a:spLocks/>
        </xdr:cNvSpPr>
      </xdr:nvSpPr>
      <xdr:spPr>
        <a:xfrm>
          <a:off x="6505575" y="1143000"/>
          <a:ext cx="266700" cy="1714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419100</xdr:colOff>
      <xdr:row>8</xdr:row>
      <xdr:rowOff>38100</xdr:rowOff>
    </xdr:from>
    <xdr:to>
      <xdr:col>9</xdr:col>
      <xdr:colOff>695325</xdr:colOff>
      <xdr:row>8</xdr:row>
      <xdr:rowOff>161925</xdr:rowOff>
    </xdr:to>
    <xdr:sp>
      <xdr:nvSpPr>
        <xdr:cNvPr id="19" name="Line 73"/>
        <xdr:cNvSpPr>
          <a:spLocks/>
        </xdr:cNvSpPr>
      </xdr:nvSpPr>
      <xdr:spPr>
        <a:xfrm>
          <a:off x="7067550" y="1447800"/>
          <a:ext cx="266700" cy="1238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5</xdr:row>
      <xdr:rowOff>0</xdr:rowOff>
    </xdr:from>
    <xdr:to>
      <xdr:col>4</xdr:col>
      <xdr:colOff>190500</xdr:colOff>
      <xdr:row>5</xdr:row>
      <xdr:rowOff>0</xdr:rowOff>
    </xdr:to>
    <xdr:sp>
      <xdr:nvSpPr>
        <xdr:cNvPr id="1" name="Line 32"/>
        <xdr:cNvSpPr>
          <a:spLocks/>
        </xdr:cNvSpPr>
      </xdr:nvSpPr>
      <xdr:spPr>
        <a:xfrm>
          <a:off x="1333500" y="8858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266700</xdr:colOff>
      <xdr:row>4</xdr:row>
      <xdr:rowOff>38100</xdr:rowOff>
    </xdr:from>
    <xdr:to>
      <xdr:col>3</xdr:col>
      <xdr:colOff>466725</xdr:colOff>
      <xdr:row>4</xdr:row>
      <xdr:rowOff>38100</xdr:rowOff>
    </xdr:to>
    <xdr:sp>
      <xdr:nvSpPr>
        <xdr:cNvPr id="2" name="Line 13"/>
        <xdr:cNvSpPr>
          <a:spLocks/>
        </xdr:cNvSpPr>
      </xdr:nvSpPr>
      <xdr:spPr>
        <a:xfrm>
          <a:off x="1152525" y="714375"/>
          <a:ext cx="209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266700</xdr:colOff>
      <xdr:row>4</xdr:row>
      <xdr:rowOff>28575</xdr:rowOff>
    </xdr:from>
    <xdr:to>
      <xdr:col>3</xdr:col>
      <xdr:colOff>266700</xdr:colOff>
      <xdr:row>11</xdr:row>
      <xdr:rowOff>28575</xdr:rowOff>
    </xdr:to>
    <xdr:sp>
      <xdr:nvSpPr>
        <xdr:cNvPr id="3" name="Line 1"/>
        <xdr:cNvSpPr>
          <a:spLocks/>
        </xdr:cNvSpPr>
      </xdr:nvSpPr>
      <xdr:spPr>
        <a:xfrm>
          <a:off x="1152525" y="704850"/>
          <a:ext cx="0" cy="1457325"/>
        </a:xfrm>
        <a:prstGeom prst="line">
          <a:avLst/>
        </a:prstGeom>
        <a:noFill/>
        <a:ln w="381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371475</xdr:colOff>
      <xdr:row>4</xdr:row>
      <xdr:rowOff>28575</xdr:rowOff>
    </xdr:from>
    <xdr:to>
      <xdr:col>3</xdr:col>
      <xdr:colOff>171450</xdr:colOff>
      <xdr:row>4</xdr:row>
      <xdr:rowOff>28575</xdr:rowOff>
    </xdr:to>
    <xdr:sp>
      <xdr:nvSpPr>
        <xdr:cNvPr id="4" name="Line 18"/>
        <xdr:cNvSpPr>
          <a:spLocks/>
        </xdr:cNvSpPr>
      </xdr:nvSpPr>
      <xdr:spPr>
        <a:xfrm>
          <a:off x="438150" y="704850"/>
          <a:ext cx="61912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381000</xdr:colOff>
      <xdr:row>11</xdr:row>
      <xdr:rowOff>28575</xdr:rowOff>
    </xdr:from>
    <xdr:to>
      <xdr:col>3</xdr:col>
      <xdr:colOff>161925</xdr:colOff>
      <xdr:row>11</xdr:row>
      <xdr:rowOff>28575</xdr:rowOff>
    </xdr:to>
    <xdr:sp>
      <xdr:nvSpPr>
        <xdr:cNvPr id="5" name="Line 19"/>
        <xdr:cNvSpPr>
          <a:spLocks/>
        </xdr:cNvSpPr>
      </xdr:nvSpPr>
      <xdr:spPr>
        <a:xfrm>
          <a:off x="447675" y="2162175"/>
          <a:ext cx="60007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419100</xdr:colOff>
      <xdr:row>4</xdr:row>
      <xdr:rowOff>28575</xdr:rowOff>
    </xdr:from>
    <xdr:to>
      <xdr:col>1</xdr:col>
      <xdr:colOff>419100</xdr:colOff>
      <xdr:row>11</xdr:row>
      <xdr:rowOff>28575</xdr:rowOff>
    </xdr:to>
    <xdr:sp>
      <xdr:nvSpPr>
        <xdr:cNvPr id="6" name="Line 20"/>
        <xdr:cNvSpPr>
          <a:spLocks/>
        </xdr:cNvSpPr>
      </xdr:nvSpPr>
      <xdr:spPr>
        <a:xfrm>
          <a:off x="485775" y="704850"/>
          <a:ext cx="0" cy="1457325"/>
        </a:xfrm>
        <a:prstGeom prst="line">
          <a:avLst/>
        </a:prstGeom>
        <a:noFill/>
        <a:ln w="19050" cmpd="sng">
          <a:solidFill>
            <a:srgbClr val="0000FF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504825</xdr:colOff>
      <xdr:row>3</xdr:row>
      <xdr:rowOff>152400</xdr:rowOff>
    </xdr:from>
    <xdr:to>
      <xdr:col>4</xdr:col>
      <xdr:colOff>47625</xdr:colOff>
      <xdr:row>4</xdr:row>
      <xdr:rowOff>133350</xdr:rowOff>
    </xdr:to>
    <xdr:sp>
      <xdr:nvSpPr>
        <xdr:cNvPr id="7" name="Rectangle 21" descr="Светлый диагональный 2"/>
        <xdr:cNvSpPr>
          <a:spLocks/>
        </xdr:cNvSpPr>
      </xdr:nvSpPr>
      <xdr:spPr>
        <a:xfrm>
          <a:off x="1390650" y="657225"/>
          <a:ext cx="142875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38100</xdr:rowOff>
    </xdr:from>
    <xdr:to>
      <xdr:col>3</xdr:col>
      <xdr:colOff>495300</xdr:colOff>
      <xdr:row>11</xdr:row>
      <xdr:rowOff>133350</xdr:rowOff>
    </xdr:to>
    <xdr:sp>
      <xdr:nvSpPr>
        <xdr:cNvPr id="8" name="Rectangle 22" descr="Широкий диагональный 2"/>
        <xdr:cNvSpPr>
          <a:spLocks/>
        </xdr:cNvSpPr>
      </xdr:nvSpPr>
      <xdr:spPr>
        <a:xfrm>
          <a:off x="904875" y="2171700"/>
          <a:ext cx="466725" cy="95250"/>
        </a:xfrm>
        <a:prstGeom prst="rect">
          <a:avLst/>
        </a:prstGeom>
        <a:pattFill prst="wdUpDiag">
          <a:fgClr>
            <a:srgbClr val="000000"/>
          </a:fgClr>
          <a:bgClr>
            <a:srgbClr val="C0C0C0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4</xdr:col>
      <xdr:colOff>0</xdr:colOff>
      <xdr:row>16</xdr:row>
      <xdr:rowOff>38100</xdr:rowOff>
    </xdr:to>
    <xdr:sp>
      <xdr:nvSpPr>
        <xdr:cNvPr id="9" name="Rectangle 2" descr="Дранка"/>
        <xdr:cNvSpPr>
          <a:spLocks/>
        </xdr:cNvSpPr>
      </xdr:nvSpPr>
      <xdr:spPr>
        <a:xfrm rot="16200000">
          <a:off x="885825" y="2886075"/>
          <a:ext cx="600075" cy="238125"/>
        </a:xfrm>
        <a:prstGeom prst="rect">
          <a:avLst/>
        </a:prstGeom>
        <a:pattFill prst="shingle">
          <a:fgClr>
            <a:srgbClr val="000000"/>
          </a:fgClr>
          <a:bgClr>
            <a:srgbClr val="CCFFCC"/>
          </a:bgClr>
        </a:patt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238125</xdr:colOff>
      <xdr:row>15</xdr:row>
      <xdr:rowOff>123825</xdr:rowOff>
    </xdr:from>
    <xdr:to>
      <xdr:col>4</xdr:col>
      <xdr:colOff>95250</xdr:colOff>
      <xdr:row>15</xdr:row>
      <xdr:rowOff>123825</xdr:rowOff>
    </xdr:to>
    <xdr:sp>
      <xdr:nvSpPr>
        <xdr:cNvPr id="10" name="Line 3"/>
        <xdr:cNvSpPr>
          <a:spLocks/>
        </xdr:cNvSpPr>
      </xdr:nvSpPr>
      <xdr:spPr>
        <a:xfrm>
          <a:off x="742950" y="3000375"/>
          <a:ext cx="8382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304800</xdr:colOff>
      <xdr:row>14</xdr:row>
      <xdr:rowOff>0</xdr:rowOff>
    </xdr:from>
    <xdr:to>
      <xdr:col>3</xdr:col>
      <xdr:colOff>304800</xdr:colOff>
      <xdr:row>17</xdr:row>
      <xdr:rowOff>0</xdr:rowOff>
    </xdr:to>
    <xdr:sp>
      <xdr:nvSpPr>
        <xdr:cNvPr id="11" name="Line 4"/>
        <xdr:cNvSpPr>
          <a:spLocks/>
        </xdr:cNvSpPr>
      </xdr:nvSpPr>
      <xdr:spPr>
        <a:xfrm flipH="1">
          <a:off x="1190625" y="2705100"/>
          <a:ext cx="0" cy="552450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38100</xdr:rowOff>
    </xdr:from>
    <xdr:to>
      <xdr:col>4</xdr:col>
      <xdr:colOff>9525</xdr:colOff>
      <xdr:row>19</xdr:row>
      <xdr:rowOff>28575</xdr:rowOff>
    </xdr:to>
    <xdr:sp>
      <xdr:nvSpPr>
        <xdr:cNvPr id="12" name="Line 6"/>
        <xdr:cNvSpPr>
          <a:spLocks/>
        </xdr:cNvSpPr>
      </xdr:nvSpPr>
      <xdr:spPr>
        <a:xfrm>
          <a:off x="1495425" y="3295650"/>
          <a:ext cx="0" cy="4095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9525</xdr:rowOff>
    </xdr:from>
    <xdr:to>
      <xdr:col>3</xdr:col>
      <xdr:colOff>0</xdr:colOff>
      <xdr:row>19</xdr:row>
      <xdr:rowOff>57150</xdr:rowOff>
    </xdr:to>
    <xdr:sp>
      <xdr:nvSpPr>
        <xdr:cNvPr id="13" name="Line 7"/>
        <xdr:cNvSpPr>
          <a:spLocks/>
        </xdr:cNvSpPr>
      </xdr:nvSpPr>
      <xdr:spPr>
        <a:xfrm>
          <a:off x="885825" y="3267075"/>
          <a:ext cx="0" cy="4667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161925</xdr:colOff>
      <xdr:row>15</xdr:row>
      <xdr:rowOff>9525</xdr:rowOff>
    </xdr:from>
    <xdr:to>
      <xdr:col>4</xdr:col>
      <xdr:colOff>161925</xdr:colOff>
      <xdr:row>16</xdr:row>
      <xdr:rowOff>9525</xdr:rowOff>
    </xdr:to>
    <xdr:sp>
      <xdr:nvSpPr>
        <xdr:cNvPr id="14" name="Line 9"/>
        <xdr:cNvSpPr>
          <a:spLocks/>
        </xdr:cNvSpPr>
      </xdr:nvSpPr>
      <xdr:spPr>
        <a:xfrm>
          <a:off x="1647825" y="2886075"/>
          <a:ext cx="0" cy="209550"/>
        </a:xfrm>
        <a:prstGeom prst="line">
          <a:avLst/>
        </a:prstGeom>
        <a:noFill/>
        <a:ln w="12700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9525</xdr:rowOff>
    </xdr:from>
    <xdr:to>
      <xdr:col>4</xdr:col>
      <xdr:colOff>228600</xdr:colOff>
      <xdr:row>15</xdr:row>
      <xdr:rowOff>9525</xdr:rowOff>
    </xdr:to>
    <xdr:sp>
      <xdr:nvSpPr>
        <xdr:cNvPr id="15" name="Line 10"/>
        <xdr:cNvSpPr>
          <a:spLocks/>
        </xdr:cNvSpPr>
      </xdr:nvSpPr>
      <xdr:spPr>
        <a:xfrm>
          <a:off x="1485900" y="28860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495300</xdr:colOff>
      <xdr:row>16</xdr:row>
      <xdr:rowOff>19050</xdr:rowOff>
    </xdr:from>
    <xdr:to>
      <xdr:col>4</xdr:col>
      <xdr:colOff>190500</xdr:colOff>
      <xdr:row>16</xdr:row>
      <xdr:rowOff>19050</xdr:rowOff>
    </xdr:to>
    <xdr:sp>
      <xdr:nvSpPr>
        <xdr:cNvPr id="16" name="Line 11"/>
        <xdr:cNvSpPr>
          <a:spLocks/>
        </xdr:cNvSpPr>
      </xdr:nvSpPr>
      <xdr:spPr>
        <a:xfrm>
          <a:off x="1381125" y="31051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285750</xdr:colOff>
      <xdr:row>19</xdr:row>
      <xdr:rowOff>0</xdr:rowOff>
    </xdr:from>
    <xdr:to>
      <xdr:col>3</xdr:col>
      <xdr:colOff>266700</xdr:colOff>
      <xdr:row>19</xdr:row>
      <xdr:rowOff>0</xdr:rowOff>
    </xdr:to>
    <xdr:sp>
      <xdr:nvSpPr>
        <xdr:cNvPr id="17" name="Line 12"/>
        <xdr:cNvSpPr>
          <a:spLocks/>
        </xdr:cNvSpPr>
      </xdr:nvSpPr>
      <xdr:spPr>
        <a:xfrm>
          <a:off x="790575" y="36766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" name="Line 38"/>
        <xdr:cNvSpPr>
          <a:spLocks/>
        </xdr:cNvSpPr>
      </xdr:nvSpPr>
      <xdr:spPr>
        <a:xfrm flipV="1">
          <a:off x="885825" y="3676650"/>
          <a:ext cx="600075" cy="0"/>
        </a:xfrm>
        <a:prstGeom prst="line">
          <a:avLst/>
        </a:prstGeom>
        <a:noFill/>
        <a:ln w="12700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161925</xdr:colOff>
      <xdr:row>1</xdr:row>
      <xdr:rowOff>171450</xdr:rowOff>
    </xdr:from>
    <xdr:to>
      <xdr:col>3</xdr:col>
      <xdr:colOff>323850</xdr:colOff>
      <xdr:row>3</xdr:row>
      <xdr:rowOff>104775</xdr:rowOff>
    </xdr:to>
    <xdr:sp>
      <xdr:nvSpPr>
        <xdr:cNvPr id="19" name="AutoShape 48"/>
        <xdr:cNvSpPr>
          <a:spLocks/>
        </xdr:cNvSpPr>
      </xdr:nvSpPr>
      <xdr:spPr>
        <a:xfrm>
          <a:off x="1047750" y="257175"/>
          <a:ext cx="161925" cy="35242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104775</xdr:rowOff>
    </xdr:from>
    <xdr:to>
      <xdr:col>3</xdr:col>
      <xdr:colOff>447675</xdr:colOff>
      <xdr:row>5</xdr:row>
      <xdr:rowOff>28575</xdr:rowOff>
    </xdr:to>
    <xdr:sp>
      <xdr:nvSpPr>
        <xdr:cNvPr id="20" name="AutoShape 49"/>
        <xdr:cNvSpPr>
          <a:spLocks/>
        </xdr:cNvSpPr>
      </xdr:nvSpPr>
      <xdr:spPr>
        <a:xfrm flipH="1">
          <a:off x="904875" y="781050"/>
          <a:ext cx="428625" cy="133350"/>
        </a:xfrm>
        <a:prstGeom prst="curvedDownArrow">
          <a:avLst>
            <a:gd name="adj" fmla="val 39185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0</xdr:rowOff>
    </xdr:from>
    <xdr:to>
      <xdr:col>3</xdr:col>
      <xdr:colOff>19050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3495675"/>
          <a:ext cx="2181225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22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33350" y="3495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3" name="Line 5"/>
        <xdr:cNvSpPr>
          <a:spLocks/>
        </xdr:cNvSpPr>
      </xdr:nvSpPr>
      <xdr:spPr>
        <a:xfrm>
          <a:off x="3000375" y="3505200"/>
          <a:ext cx="21336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1066800</xdr:colOff>
      <xdr:row>19</xdr:row>
      <xdr:rowOff>66675</xdr:rowOff>
    </xdr:from>
    <xdr:to>
      <xdr:col>4</xdr:col>
      <xdr:colOff>1066800</xdr:colOff>
      <xdr:row>21</xdr:row>
      <xdr:rowOff>19050</xdr:rowOff>
    </xdr:to>
    <xdr:sp>
      <xdr:nvSpPr>
        <xdr:cNvPr id="4" name="Line 8"/>
        <xdr:cNvSpPr>
          <a:spLocks/>
        </xdr:cNvSpPr>
      </xdr:nvSpPr>
      <xdr:spPr>
        <a:xfrm>
          <a:off x="4067175" y="3238500"/>
          <a:ext cx="0" cy="2762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>
      <xdr:nvSpPr>
        <xdr:cNvPr id="5" name="Line 10"/>
        <xdr:cNvSpPr>
          <a:spLocks/>
        </xdr:cNvSpPr>
      </xdr:nvSpPr>
      <xdr:spPr>
        <a:xfrm>
          <a:off x="5838825" y="3495675"/>
          <a:ext cx="22479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152400</xdr:rowOff>
    </xdr:from>
    <xdr:to>
      <xdr:col>9</xdr:col>
      <xdr:colOff>0</xdr:colOff>
      <xdr:row>22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8086725" y="34861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76200</xdr:rowOff>
    </xdr:from>
    <xdr:to>
      <xdr:col>9</xdr:col>
      <xdr:colOff>0</xdr:colOff>
      <xdr:row>20</xdr:row>
      <xdr:rowOff>152400</xdr:rowOff>
    </xdr:to>
    <xdr:sp>
      <xdr:nvSpPr>
        <xdr:cNvPr id="7" name="Rectangle 13"/>
        <xdr:cNvSpPr>
          <a:spLocks/>
        </xdr:cNvSpPr>
      </xdr:nvSpPr>
      <xdr:spPr>
        <a:xfrm>
          <a:off x="5838825" y="3409950"/>
          <a:ext cx="2247900" cy="76200"/>
        </a:xfrm>
        <a:prstGeom prst="rect">
          <a:avLst/>
        </a:prstGeom>
        <a:pattFill prst="dk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1152525</xdr:colOff>
      <xdr:row>18</xdr:row>
      <xdr:rowOff>152400</xdr:rowOff>
    </xdr:from>
    <xdr:to>
      <xdr:col>7</xdr:col>
      <xdr:colOff>1152525</xdr:colOff>
      <xdr:row>20</xdr:row>
      <xdr:rowOff>152400</xdr:rowOff>
    </xdr:to>
    <xdr:sp>
      <xdr:nvSpPr>
        <xdr:cNvPr id="8" name="Line 14"/>
        <xdr:cNvSpPr>
          <a:spLocks/>
        </xdr:cNvSpPr>
      </xdr:nvSpPr>
      <xdr:spPr>
        <a:xfrm>
          <a:off x="6991350" y="3162300"/>
          <a:ext cx="0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76200</xdr:rowOff>
    </xdr:from>
    <xdr:to>
      <xdr:col>3</xdr:col>
      <xdr:colOff>0</xdr:colOff>
      <xdr:row>21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133350" y="3409950"/>
          <a:ext cx="2181225" cy="85725"/>
        </a:xfrm>
        <a:prstGeom prst="rect">
          <a:avLst/>
        </a:prstGeom>
        <a:pattFill prst="dk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133350</xdr:colOff>
      <xdr:row>7</xdr:row>
      <xdr:rowOff>38100</xdr:rowOff>
    </xdr:from>
    <xdr:to>
      <xdr:col>0</xdr:col>
      <xdr:colOff>133350</xdr:colOff>
      <xdr:row>7</xdr:row>
      <xdr:rowOff>95250</xdr:rowOff>
    </xdr:to>
    <xdr:sp>
      <xdr:nvSpPr>
        <xdr:cNvPr id="10" name="Rectangle 16"/>
        <xdr:cNvSpPr>
          <a:spLocks/>
        </xdr:cNvSpPr>
      </xdr:nvSpPr>
      <xdr:spPr>
        <a:xfrm>
          <a:off x="133350" y="1209675"/>
          <a:ext cx="0" cy="57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133350</xdr:colOff>
      <xdr:row>14</xdr:row>
      <xdr:rowOff>0</xdr:rowOff>
    </xdr:from>
    <xdr:to>
      <xdr:col>0</xdr:col>
      <xdr:colOff>133350</xdr:colOff>
      <xdr:row>14</xdr:row>
      <xdr:rowOff>0</xdr:rowOff>
    </xdr:to>
    <xdr:sp>
      <xdr:nvSpPr>
        <xdr:cNvPr id="11" name="Rectangle 18"/>
        <xdr:cNvSpPr>
          <a:spLocks/>
        </xdr:cNvSpPr>
      </xdr:nvSpPr>
      <xdr:spPr>
        <a:xfrm>
          <a:off x="133350" y="232410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133350</xdr:rowOff>
    </xdr:from>
    <xdr:to>
      <xdr:col>6</xdr:col>
      <xdr:colOff>0</xdr:colOff>
      <xdr:row>23</xdr:row>
      <xdr:rowOff>57150</xdr:rowOff>
    </xdr:to>
    <xdr:sp>
      <xdr:nvSpPr>
        <xdr:cNvPr id="12" name="Line 29"/>
        <xdr:cNvSpPr>
          <a:spLocks/>
        </xdr:cNvSpPr>
      </xdr:nvSpPr>
      <xdr:spPr>
        <a:xfrm>
          <a:off x="5133975" y="3467100"/>
          <a:ext cx="0" cy="4095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152400</xdr:rowOff>
    </xdr:from>
    <xdr:to>
      <xdr:col>9</xdr:col>
      <xdr:colOff>0</xdr:colOff>
      <xdr:row>23</xdr:row>
      <xdr:rowOff>95250</xdr:rowOff>
    </xdr:to>
    <xdr:sp>
      <xdr:nvSpPr>
        <xdr:cNvPr id="13" name="Line 31"/>
        <xdr:cNvSpPr>
          <a:spLocks/>
        </xdr:cNvSpPr>
      </xdr:nvSpPr>
      <xdr:spPr>
        <a:xfrm>
          <a:off x="8086725" y="3486150"/>
          <a:ext cx="0" cy="4286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23</xdr:row>
      <xdr:rowOff>0</xdr:rowOff>
    </xdr:from>
    <xdr:to>
      <xdr:col>9</xdr:col>
      <xdr:colOff>19050</xdr:colOff>
      <xdr:row>23</xdr:row>
      <xdr:rowOff>0</xdr:rowOff>
    </xdr:to>
    <xdr:sp>
      <xdr:nvSpPr>
        <xdr:cNvPr id="14" name="Line 33"/>
        <xdr:cNvSpPr>
          <a:spLocks/>
        </xdr:cNvSpPr>
      </xdr:nvSpPr>
      <xdr:spPr>
        <a:xfrm>
          <a:off x="5857875" y="3819525"/>
          <a:ext cx="2247900" cy="0"/>
        </a:xfrm>
        <a:prstGeom prst="line">
          <a:avLst/>
        </a:prstGeom>
        <a:noFill/>
        <a:ln w="9525" cmpd="sng">
          <a:solidFill>
            <a:srgbClr val="0000FF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752475</xdr:colOff>
      <xdr:row>21</xdr:row>
      <xdr:rowOff>0</xdr:rowOff>
    </xdr:from>
    <xdr:to>
      <xdr:col>2</xdr:col>
      <xdr:colOff>752475</xdr:colOff>
      <xdr:row>23</xdr:row>
      <xdr:rowOff>19050</xdr:rowOff>
    </xdr:to>
    <xdr:sp>
      <xdr:nvSpPr>
        <xdr:cNvPr id="15" name="Line 34"/>
        <xdr:cNvSpPr>
          <a:spLocks/>
        </xdr:cNvSpPr>
      </xdr:nvSpPr>
      <xdr:spPr>
        <a:xfrm flipV="1">
          <a:off x="2305050" y="3495675"/>
          <a:ext cx="0" cy="3429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1</xdr:col>
      <xdr:colOff>0</xdr:colOff>
      <xdr:row>23</xdr:row>
      <xdr:rowOff>85725</xdr:rowOff>
    </xdr:to>
    <xdr:sp>
      <xdr:nvSpPr>
        <xdr:cNvPr id="16" name="Line 35"/>
        <xdr:cNvSpPr>
          <a:spLocks/>
        </xdr:cNvSpPr>
      </xdr:nvSpPr>
      <xdr:spPr>
        <a:xfrm flipV="1">
          <a:off x="133350" y="3505200"/>
          <a:ext cx="0" cy="4000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23</xdr:row>
      <xdr:rowOff>76200</xdr:rowOff>
    </xdr:to>
    <xdr:sp>
      <xdr:nvSpPr>
        <xdr:cNvPr id="17" name="Line 36"/>
        <xdr:cNvSpPr>
          <a:spLocks/>
        </xdr:cNvSpPr>
      </xdr:nvSpPr>
      <xdr:spPr>
        <a:xfrm flipV="1">
          <a:off x="3000375" y="3495675"/>
          <a:ext cx="0" cy="4000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133350</xdr:rowOff>
    </xdr:to>
    <xdr:sp>
      <xdr:nvSpPr>
        <xdr:cNvPr id="18" name="Line 37"/>
        <xdr:cNvSpPr>
          <a:spLocks/>
        </xdr:cNvSpPr>
      </xdr:nvSpPr>
      <xdr:spPr>
        <a:xfrm flipV="1">
          <a:off x="5133975" y="3495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133350</xdr:colOff>
      <xdr:row>21</xdr:row>
      <xdr:rowOff>0</xdr:rowOff>
    </xdr:from>
    <xdr:to>
      <xdr:col>3</xdr:col>
      <xdr:colOff>76200</xdr:colOff>
      <xdr:row>21</xdr:row>
      <xdr:rowOff>0</xdr:rowOff>
    </xdr:to>
    <xdr:sp>
      <xdr:nvSpPr>
        <xdr:cNvPr id="19" name="Line 38"/>
        <xdr:cNvSpPr>
          <a:spLocks/>
        </xdr:cNvSpPr>
      </xdr:nvSpPr>
      <xdr:spPr>
        <a:xfrm>
          <a:off x="133350" y="3495675"/>
          <a:ext cx="2257425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23</xdr:row>
      <xdr:rowOff>57150</xdr:rowOff>
    </xdr:to>
    <xdr:sp>
      <xdr:nvSpPr>
        <xdr:cNvPr id="20" name="Line 39"/>
        <xdr:cNvSpPr>
          <a:spLocks/>
        </xdr:cNvSpPr>
      </xdr:nvSpPr>
      <xdr:spPr>
        <a:xfrm flipV="1">
          <a:off x="5838825" y="3495675"/>
          <a:ext cx="0" cy="3810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1066800</xdr:colOff>
      <xdr:row>20</xdr:row>
      <xdr:rowOff>9525</xdr:rowOff>
    </xdr:from>
    <xdr:to>
      <xdr:col>4</xdr:col>
      <xdr:colOff>1066800</xdr:colOff>
      <xdr:row>22</xdr:row>
      <xdr:rowOff>95250</xdr:rowOff>
    </xdr:to>
    <xdr:sp>
      <xdr:nvSpPr>
        <xdr:cNvPr id="21" name="Line 43"/>
        <xdr:cNvSpPr>
          <a:spLocks/>
        </xdr:cNvSpPr>
      </xdr:nvSpPr>
      <xdr:spPr>
        <a:xfrm>
          <a:off x="4067175" y="33432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1066800</xdr:colOff>
      <xdr:row>22</xdr:row>
      <xdr:rowOff>0</xdr:rowOff>
    </xdr:to>
    <xdr:sp>
      <xdr:nvSpPr>
        <xdr:cNvPr id="22" name="Line 46"/>
        <xdr:cNvSpPr>
          <a:spLocks/>
        </xdr:cNvSpPr>
      </xdr:nvSpPr>
      <xdr:spPr>
        <a:xfrm>
          <a:off x="3000375" y="3657600"/>
          <a:ext cx="1066800" cy="0"/>
        </a:xfrm>
        <a:prstGeom prst="line">
          <a:avLst/>
        </a:prstGeom>
        <a:noFill/>
        <a:ln w="9525" cmpd="sng">
          <a:solidFill>
            <a:srgbClr val="0000FF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676275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" name="Line 49"/>
        <xdr:cNvSpPr>
          <a:spLocks/>
        </xdr:cNvSpPr>
      </xdr:nvSpPr>
      <xdr:spPr>
        <a:xfrm>
          <a:off x="2990850" y="3829050"/>
          <a:ext cx="2143125" cy="0"/>
        </a:xfrm>
        <a:prstGeom prst="line">
          <a:avLst/>
        </a:prstGeom>
        <a:noFill/>
        <a:ln w="9525" cmpd="sng">
          <a:solidFill>
            <a:srgbClr val="0000FF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9525</xdr:rowOff>
    </xdr:from>
    <xdr:to>
      <xdr:col>3</xdr:col>
      <xdr:colOff>9525</xdr:colOff>
      <xdr:row>23</xdr:row>
      <xdr:rowOff>9525</xdr:rowOff>
    </xdr:to>
    <xdr:sp>
      <xdr:nvSpPr>
        <xdr:cNvPr id="24" name="Line 50"/>
        <xdr:cNvSpPr>
          <a:spLocks/>
        </xdr:cNvSpPr>
      </xdr:nvSpPr>
      <xdr:spPr>
        <a:xfrm>
          <a:off x="133350" y="3829050"/>
          <a:ext cx="2190750" cy="0"/>
        </a:xfrm>
        <a:prstGeom prst="line">
          <a:avLst/>
        </a:prstGeom>
        <a:noFill/>
        <a:ln w="9525" cmpd="sng">
          <a:solidFill>
            <a:srgbClr val="0000FF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752475</xdr:colOff>
      <xdr:row>22</xdr:row>
      <xdr:rowOff>142875</xdr:rowOff>
    </xdr:from>
    <xdr:to>
      <xdr:col>2</xdr:col>
      <xdr:colOff>752475</xdr:colOff>
      <xdr:row>23</xdr:row>
      <xdr:rowOff>76200</xdr:rowOff>
    </xdr:to>
    <xdr:sp>
      <xdr:nvSpPr>
        <xdr:cNvPr id="25" name="Line 51"/>
        <xdr:cNvSpPr>
          <a:spLocks/>
        </xdr:cNvSpPr>
      </xdr:nvSpPr>
      <xdr:spPr>
        <a:xfrm>
          <a:off x="2305050" y="38004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21</xdr:row>
      <xdr:rowOff>19050</xdr:rowOff>
    </xdr:to>
    <xdr:sp>
      <xdr:nvSpPr>
        <xdr:cNvPr id="26" name="Line 52"/>
        <xdr:cNvSpPr>
          <a:spLocks/>
        </xdr:cNvSpPr>
      </xdr:nvSpPr>
      <xdr:spPr>
        <a:xfrm>
          <a:off x="5838825" y="3171825"/>
          <a:ext cx="0" cy="3429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66675</xdr:rowOff>
    </xdr:from>
    <xdr:to>
      <xdr:col>7</xdr:col>
      <xdr:colOff>1171575</xdr:colOff>
      <xdr:row>19</xdr:row>
      <xdr:rowOff>66675</xdr:rowOff>
    </xdr:to>
    <xdr:sp>
      <xdr:nvSpPr>
        <xdr:cNvPr id="27" name="Line 53"/>
        <xdr:cNvSpPr>
          <a:spLocks/>
        </xdr:cNvSpPr>
      </xdr:nvSpPr>
      <xdr:spPr>
        <a:xfrm>
          <a:off x="5857875" y="3238500"/>
          <a:ext cx="1143000" cy="0"/>
        </a:xfrm>
        <a:prstGeom prst="line">
          <a:avLst/>
        </a:prstGeom>
        <a:noFill/>
        <a:ln w="9525" cmpd="sng">
          <a:solidFill>
            <a:srgbClr val="0000FF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57150</xdr:rowOff>
    </xdr:from>
    <xdr:to>
      <xdr:col>6</xdr:col>
      <xdr:colOff>0</xdr:colOff>
      <xdr:row>21</xdr:row>
      <xdr:rowOff>9525</xdr:rowOff>
    </xdr:to>
    <xdr:sp>
      <xdr:nvSpPr>
        <xdr:cNvPr id="28" name="Line 54"/>
        <xdr:cNvSpPr>
          <a:spLocks/>
        </xdr:cNvSpPr>
      </xdr:nvSpPr>
      <xdr:spPr>
        <a:xfrm>
          <a:off x="5133975" y="3228975"/>
          <a:ext cx="0" cy="2762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1066800</xdr:colOff>
      <xdr:row>19</xdr:row>
      <xdr:rowOff>152400</xdr:rowOff>
    </xdr:from>
    <xdr:to>
      <xdr:col>6</xdr:col>
      <xdr:colOff>0</xdr:colOff>
      <xdr:row>19</xdr:row>
      <xdr:rowOff>152400</xdr:rowOff>
    </xdr:to>
    <xdr:sp>
      <xdr:nvSpPr>
        <xdr:cNvPr id="29" name="Line 55"/>
        <xdr:cNvSpPr>
          <a:spLocks/>
        </xdr:cNvSpPr>
      </xdr:nvSpPr>
      <xdr:spPr>
        <a:xfrm>
          <a:off x="4067175" y="3324225"/>
          <a:ext cx="1066800" cy="0"/>
        </a:xfrm>
        <a:prstGeom prst="line">
          <a:avLst/>
        </a:prstGeom>
        <a:noFill/>
        <a:ln w="9525" cmpd="sng">
          <a:solidFill>
            <a:srgbClr val="0000FF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4</xdr:row>
      <xdr:rowOff>0</xdr:rowOff>
    </xdr:from>
    <xdr:to>
      <xdr:col>1</xdr:col>
      <xdr:colOff>76200</xdr:colOff>
      <xdr:row>15</xdr:row>
      <xdr:rowOff>9525</xdr:rowOff>
    </xdr:to>
    <xdr:sp>
      <xdr:nvSpPr>
        <xdr:cNvPr id="1" name="Rectangle 1" descr="Почтовая бумага"/>
        <xdr:cNvSpPr>
          <a:spLocks/>
        </xdr:cNvSpPr>
      </xdr:nvSpPr>
      <xdr:spPr>
        <a:xfrm>
          <a:off x="685800" y="657225"/>
          <a:ext cx="85725" cy="17907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4</xdr:row>
      <xdr:rowOff>0</xdr:rowOff>
    </xdr:from>
    <xdr:to>
      <xdr:col>1</xdr:col>
      <xdr:colOff>161925</xdr:colOff>
      <xdr:row>15</xdr:row>
      <xdr:rowOff>9525</xdr:rowOff>
    </xdr:to>
    <xdr:sp>
      <xdr:nvSpPr>
        <xdr:cNvPr id="2" name="Rectangle 2" descr="Почтовая бумага"/>
        <xdr:cNvSpPr>
          <a:spLocks/>
        </xdr:cNvSpPr>
      </xdr:nvSpPr>
      <xdr:spPr>
        <a:xfrm>
          <a:off x="771525" y="657225"/>
          <a:ext cx="85725" cy="17907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19050</xdr:rowOff>
    </xdr:from>
    <xdr:to>
      <xdr:col>1</xdr:col>
      <xdr:colOff>133350</xdr:colOff>
      <xdr:row>19</xdr:row>
      <xdr:rowOff>9525</xdr:rowOff>
    </xdr:to>
    <xdr:sp>
      <xdr:nvSpPr>
        <xdr:cNvPr id="3" name="Rectangle 6" descr="Почтовая бумага"/>
        <xdr:cNvSpPr>
          <a:spLocks/>
        </xdr:cNvSpPr>
      </xdr:nvSpPr>
      <xdr:spPr>
        <a:xfrm>
          <a:off x="695325" y="2790825"/>
          <a:ext cx="133350" cy="33337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17</xdr:row>
      <xdr:rowOff>19050</xdr:rowOff>
    </xdr:from>
    <xdr:to>
      <xdr:col>1</xdr:col>
      <xdr:colOff>257175</xdr:colOff>
      <xdr:row>19</xdr:row>
      <xdr:rowOff>9525</xdr:rowOff>
    </xdr:to>
    <xdr:sp>
      <xdr:nvSpPr>
        <xdr:cNvPr id="4" name="Rectangle 7" descr="Почтовая бумага"/>
        <xdr:cNvSpPr>
          <a:spLocks/>
        </xdr:cNvSpPr>
      </xdr:nvSpPr>
      <xdr:spPr>
        <a:xfrm>
          <a:off x="838200" y="2790825"/>
          <a:ext cx="123825" cy="33337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76200</xdr:colOff>
      <xdr:row>14</xdr:row>
      <xdr:rowOff>152400</xdr:rowOff>
    </xdr:to>
    <xdr:sp>
      <xdr:nvSpPr>
        <xdr:cNvPr id="5" name="Rectangle 9" descr="Почтовая бумага"/>
        <xdr:cNvSpPr>
          <a:spLocks/>
        </xdr:cNvSpPr>
      </xdr:nvSpPr>
      <xdr:spPr>
        <a:xfrm>
          <a:off x="2543175" y="657225"/>
          <a:ext cx="76200" cy="177165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161925</xdr:colOff>
      <xdr:row>4</xdr:row>
      <xdr:rowOff>0</xdr:rowOff>
    </xdr:from>
    <xdr:to>
      <xdr:col>6</xdr:col>
      <xdr:colOff>247650</xdr:colOff>
      <xdr:row>14</xdr:row>
      <xdr:rowOff>152400</xdr:rowOff>
    </xdr:to>
    <xdr:sp>
      <xdr:nvSpPr>
        <xdr:cNvPr id="6" name="Rectangle 10" descr="Почтовая бумага"/>
        <xdr:cNvSpPr>
          <a:spLocks/>
        </xdr:cNvSpPr>
      </xdr:nvSpPr>
      <xdr:spPr>
        <a:xfrm>
          <a:off x="2705100" y="657225"/>
          <a:ext cx="85725" cy="177165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0</xdr:rowOff>
    </xdr:from>
    <xdr:to>
      <xdr:col>6</xdr:col>
      <xdr:colOff>161925</xdr:colOff>
      <xdr:row>5</xdr:row>
      <xdr:rowOff>9525</xdr:rowOff>
    </xdr:to>
    <xdr:sp>
      <xdr:nvSpPr>
        <xdr:cNvPr id="7" name="Rectangle 11"/>
        <xdr:cNvSpPr>
          <a:spLocks/>
        </xdr:cNvSpPr>
      </xdr:nvSpPr>
      <xdr:spPr>
        <a:xfrm>
          <a:off x="2619375" y="657225"/>
          <a:ext cx="85725" cy="171450"/>
        </a:xfrm>
        <a:prstGeom prst="rect">
          <a:avLst/>
        </a:prstGeom>
        <a:solidFill>
          <a:srgbClr val="FF99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76200</xdr:colOff>
      <xdr:row>13</xdr:row>
      <xdr:rowOff>142875</xdr:rowOff>
    </xdr:from>
    <xdr:to>
      <xdr:col>6</xdr:col>
      <xdr:colOff>161925</xdr:colOff>
      <xdr:row>14</xdr:row>
      <xdr:rowOff>152400</xdr:rowOff>
    </xdr:to>
    <xdr:sp>
      <xdr:nvSpPr>
        <xdr:cNvPr id="8" name="Rectangle 13"/>
        <xdr:cNvSpPr>
          <a:spLocks/>
        </xdr:cNvSpPr>
      </xdr:nvSpPr>
      <xdr:spPr>
        <a:xfrm>
          <a:off x="2619375" y="2257425"/>
          <a:ext cx="85725" cy="171450"/>
        </a:xfrm>
        <a:prstGeom prst="rect">
          <a:avLst/>
        </a:prstGeom>
        <a:solidFill>
          <a:srgbClr val="FF99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76200</xdr:colOff>
      <xdr:row>8</xdr:row>
      <xdr:rowOff>152400</xdr:rowOff>
    </xdr:from>
    <xdr:to>
      <xdr:col>6</xdr:col>
      <xdr:colOff>161925</xdr:colOff>
      <xdr:row>10</xdr:row>
      <xdr:rowOff>0</xdr:rowOff>
    </xdr:to>
    <xdr:sp>
      <xdr:nvSpPr>
        <xdr:cNvPr id="9" name="Rectangle 14"/>
        <xdr:cNvSpPr>
          <a:spLocks/>
        </xdr:cNvSpPr>
      </xdr:nvSpPr>
      <xdr:spPr>
        <a:xfrm>
          <a:off x="2619375" y="1457325"/>
          <a:ext cx="85725" cy="171450"/>
        </a:xfrm>
        <a:prstGeom prst="rect">
          <a:avLst/>
        </a:prstGeom>
        <a:solidFill>
          <a:srgbClr val="FF99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85725</xdr:rowOff>
    </xdr:from>
    <xdr:to>
      <xdr:col>6</xdr:col>
      <xdr:colOff>76200</xdr:colOff>
      <xdr:row>4</xdr:row>
      <xdr:rowOff>85725</xdr:rowOff>
    </xdr:to>
    <xdr:sp>
      <xdr:nvSpPr>
        <xdr:cNvPr id="10" name="Line 15"/>
        <xdr:cNvSpPr>
          <a:spLocks/>
        </xdr:cNvSpPr>
      </xdr:nvSpPr>
      <xdr:spPr>
        <a:xfrm>
          <a:off x="2543175" y="742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161925</xdr:colOff>
      <xdr:row>4</xdr:row>
      <xdr:rowOff>85725</xdr:rowOff>
    </xdr:from>
    <xdr:to>
      <xdr:col>6</xdr:col>
      <xdr:colOff>257175</xdr:colOff>
      <xdr:row>4</xdr:row>
      <xdr:rowOff>85725</xdr:rowOff>
    </xdr:to>
    <xdr:sp>
      <xdr:nvSpPr>
        <xdr:cNvPr id="11" name="Line 16"/>
        <xdr:cNvSpPr>
          <a:spLocks/>
        </xdr:cNvSpPr>
      </xdr:nvSpPr>
      <xdr:spPr>
        <a:xfrm>
          <a:off x="2705100" y="7429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276225</xdr:colOff>
      <xdr:row>9</xdr:row>
      <xdr:rowOff>66675</xdr:rowOff>
    </xdr:from>
    <xdr:to>
      <xdr:col>6</xdr:col>
      <xdr:colOff>66675</xdr:colOff>
      <xdr:row>9</xdr:row>
      <xdr:rowOff>66675</xdr:rowOff>
    </xdr:to>
    <xdr:sp>
      <xdr:nvSpPr>
        <xdr:cNvPr id="12" name="Line 17"/>
        <xdr:cNvSpPr>
          <a:spLocks/>
        </xdr:cNvSpPr>
      </xdr:nvSpPr>
      <xdr:spPr>
        <a:xfrm>
          <a:off x="2543175" y="1533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171450</xdr:colOff>
      <xdr:row>9</xdr:row>
      <xdr:rowOff>76200</xdr:rowOff>
    </xdr:from>
    <xdr:to>
      <xdr:col>6</xdr:col>
      <xdr:colOff>247650</xdr:colOff>
      <xdr:row>9</xdr:row>
      <xdr:rowOff>76200</xdr:rowOff>
    </xdr:to>
    <xdr:sp>
      <xdr:nvSpPr>
        <xdr:cNvPr id="13" name="Line 18"/>
        <xdr:cNvSpPr>
          <a:spLocks/>
        </xdr:cNvSpPr>
      </xdr:nvSpPr>
      <xdr:spPr>
        <a:xfrm>
          <a:off x="2714625" y="1543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276225</xdr:colOff>
      <xdr:row>14</xdr:row>
      <xdr:rowOff>57150</xdr:rowOff>
    </xdr:from>
    <xdr:to>
      <xdr:col>6</xdr:col>
      <xdr:colOff>76200</xdr:colOff>
      <xdr:row>14</xdr:row>
      <xdr:rowOff>57150</xdr:rowOff>
    </xdr:to>
    <xdr:sp>
      <xdr:nvSpPr>
        <xdr:cNvPr id="14" name="Line 19"/>
        <xdr:cNvSpPr>
          <a:spLocks/>
        </xdr:cNvSpPr>
      </xdr:nvSpPr>
      <xdr:spPr>
        <a:xfrm>
          <a:off x="2543175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171450</xdr:colOff>
      <xdr:row>14</xdr:row>
      <xdr:rowOff>66675</xdr:rowOff>
    </xdr:from>
    <xdr:to>
      <xdr:col>6</xdr:col>
      <xdr:colOff>257175</xdr:colOff>
      <xdr:row>14</xdr:row>
      <xdr:rowOff>66675</xdr:rowOff>
    </xdr:to>
    <xdr:sp>
      <xdr:nvSpPr>
        <xdr:cNvPr id="15" name="Line 20"/>
        <xdr:cNvSpPr>
          <a:spLocks/>
        </xdr:cNvSpPr>
      </xdr:nvSpPr>
      <xdr:spPr>
        <a:xfrm>
          <a:off x="2714625" y="23431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685800</xdr:colOff>
      <xdr:row>5</xdr:row>
      <xdr:rowOff>0</xdr:rowOff>
    </xdr:from>
    <xdr:to>
      <xdr:col>1</xdr:col>
      <xdr:colOff>76200</xdr:colOff>
      <xdr:row>5</xdr:row>
      <xdr:rowOff>0</xdr:rowOff>
    </xdr:to>
    <xdr:sp>
      <xdr:nvSpPr>
        <xdr:cNvPr id="16" name="Line 21"/>
        <xdr:cNvSpPr>
          <a:spLocks/>
        </xdr:cNvSpPr>
      </xdr:nvSpPr>
      <xdr:spPr>
        <a:xfrm>
          <a:off x="685800" y="8191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1</xdr:col>
      <xdr:colOff>85725</xdr:colOff>
      <xdr:row>8</xdr:row>
      <xdr:rowOff>9525</xdr:rowOff>
    </xdr:to>
    <xdr:sp>
      <xdr:nvSpPr>
        <xdr:cNvPr id="17" name="Line 22"/>
        <xdr:cNvSpPr>
          <a:spLocks/>
        </xdr:cNvSpPr>
      </xdr:nvSpPr>
      <xdr:spPr>
        <a:xfrm>
          <a:off x="695325" y="13144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676275</xdr:colOff>
      <xdr:row>11</xdr:row>
      <xdr:rowOff>0</xdr:rowOff>
    </xdr:from>
    <xdr:to>
      <xdr:col>1</xdr:col>
      <xdr:colOff>66675</xdr:colOff>
      <xdr:row>11</xdr:row>
      <xdr:rowOff>0</xdr:rowOff>
    </xdr:to>
    <xdr:sp>
      <xdr:nvSpPr>
        <xdr:cNvPr id="18" name="Line 24"/>
        <xdr:cNvSpPr>
          <a:spLocks/>
        </xdr:cNvSpPr>
      </xdr:nvSpPr>
      <xdr:spPr>
        <a:xfrm>
          <a:off x="676275" y="1790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666750</xdr:colOff>
      <xdr:row>14</xdr:row>
      <xdr:rowOff>9525</xdr:rowOff>
    </xdr:from>
    <xdr:to>
      <xdr:col>1</xdr:col>
      <xdr:colOff>57150</xdr:colOff>
      <xdr:row>14</xdr:row>
      <xdr:rowOff>9525</xdr:rowOff>
    </xdr:to>
    <xdr:sp>
      <xdr:nvSpPr>
        <xdr:cNvPr id="19" name="Line 25"/>
        <xdr:cNvSpPr>
          <a:spLocks/>
        </xdr:cNvSpPr>
      </xdr:nvSpPr>
      <xdr:spPr>
        <a:xfrm>
          <a:off x="666750" y="22860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5</xdr:row>
      <xdr:rowOff>0</xdr:rowOff>
    </xdr:from>
    <xdr:to>
      <xdr:col>1</xdr:col>
      <xdr:colOff>180975</xdr:colOff>
      <xdr:row>5</xdr:row>
      <xdr:rowOff>0</xdr:rowOff>
    </xdr:to>
    <xdr:sp>
      <xdr:nvSpPr>
        <xdr:cNvPr id="20" name="Line 26"/>
        <xdr:cNvSpPr>
          <a:spLocks/>
        </xdr:cNvSpPr>
      </xdr:nvSpPr>
      <xdr:spPr>
        <a:xfrm>
          <a:off x="781050" y="8191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8</xdr:row>
      <xdr:rowOff>0</xdr:rowOff>
    </xdr:from>
    <xdr:to>
      <xdr:col>1</xdr:col>
      <xdr:colOff>171450</xdr:colOff>
      <xdr:row>8</xdr:row>
      <xdr:rowOff>0</xdr:rowOff>
    </xdr:to>
    <xdr:sp>
      <xdr:nvSpPr>
        <xdr:cNvPr id="21" name="Line 27"/>
        <xdr:cNvSpPr>
          <a:spLocks/>
        </xdr:cNvSpPr>
      </xdr:nvSpPr>
      <xdr:spPr>
        <a:xfrm>
          <a:off x="771525" y="13049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10</xdr:row>
      <xdr:rowOff>152400</xdr:rowOff>
    </xdr:from>
    <xdr:to>
      <xdr:col>1</xdr:col>
      <xdr:colOff>200025</xdr:colOff>
      <xdr:row>10</xdr:row>
      <xdr:rowOff>152400</xdr:rowOff>
    </xdr:to>
    <xdr:sp>
      <xdr:nvSpPr>
        <xdr:cNvPr id="22" name="Line 29"/>
        <xdr:cNvSpPr>
          <a:spLocks/>
        </xdr:cNvSpPr>
      </xdr:nvSpPr>
      <xdr:spPr>
        <a:xfrm>
          <a:off x="790575" y="1781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14</xdr:row>
      <xdr:rowOff>0</xdr:rowOff>
    </xdr:from>
    <xdr:to>
      <xdr:col>1</xdr:col>
      <xdr:colOff>200025</xdr:colOff>
      <xdr:row>14</xdr:row>
      <xdr:rowOff>0</xdr:rowOff>
    </xdr:to>
    <xdr:sp>
      <xdr:nvSpPr>
        <xdr:cNvPr id="23" name="Line 30"/>
        <xdr:cNvSpPr>
          <a:spLocks/>
        </xdr:cNvSpPr>
      </xdr:nvSpPr>
      <xdr:spPr>
        <a:xfrm>
          <a:off x="790575" y="22764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95250</xdr:colOff>
      <xdr:row>19</xdr:row>
      <xdr:rowOff>9525</xdr:rowOff>
    </xdr:to>
    <xdr:sp>
      <xdr:nvSpPr>
        <xdr:cNvPr id="24" name="Rectangle 32" descr="Почтовая бумага"/>
        <xdr:cNvSpPr>
          <a:spLocks/>
        </xdr:cNvSpPr>
      </xdr:nvSpPr>
      <xdr:spPr>
        <a:xfrm>
          <a:off x="2552700" y="2771775"/>
          <a:ext cx="85725" cy="352425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104775</xdr:colOff>
      <xdr:row>17</xdr:row>
      <xdr:rowOff>0</xdr:rowOff>
    </xdr:from>
    <xdr:to>
      <xdr:col>6</xdr:col>
      <xdr:colOff>200025</xdr:colOff>
      <xdr:row>19</xdr:row>
      <xdr:rowOff>9525</xdr:rowOff>
    </xdr:to>
    <xdr:sp>
      <xdr:nvSpPr>
        <xdr:cNvPr id="25" name="Rectangle 33"/>
        <xdr:cNvSpPr>
          <a:spLocks/>
        </xdr:cNvSpPr>
      </xdr:nvSpPr>
      <xdr:spPr>
        <a:xfrm>
          <a:off x="2647950" y="2771775"/>
          <a:ext cx="85725" cy="352425"/>
        </a:xfrm>
        <a:prstGeom prst="rect">
          <a:avLst/>
        </a:prstGeom>
        <a:solidFill>
          <a:srgbClr val="FF99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209550</xdr:colOff>
      <xdr:row>17</xdr:row>
      <xdr:rowOff>0</xdr:rowOff>
    </xdr:from>
    <xdr:to>
      <xdr:col>6</xdr:col>
      <xdr:colOff>295275</xdr:colOff>
      <xdr:row>19</xdr:row>
      <xdr:rowOff>9525</xdr:rowOff>
    </xdr:to>
    <xdr:sp>
      <xdr:nvSpPr>
        <xdr:cNvPr id="26" name="Rectangle 34" descr="Почтовая бумага"/>
        <xdr:cNvSpPr>
          <a:spLocks/>
        </xdr:cNvSpPr>
      </xdr:nvSpPr>
      <xdr:spPr>
        <a:xfrm>
          <a:off x="2752725" y="2771775"/>
          <a:ext cx="85725" cy="352425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304800</xdr:colOff>
      <xdr:row>4</xdr:row>
      <xdr:rowOff>0</xdr:rowOff>
    </xdr:from>
    <xdr:to>
      <xdr:col>5</xdr:col>
      <xdr:colOff>276225</xdr:colOff>
      <xdr:row>4</xdr:row>
      <xdr:rowOff>0</xdr:rowOff>
    </xdr:to>
    <xdr:sp>
      <xdr:nvSpPr>
        <xdr:cNvPr id="27" name="Line 35"/>
        <xdr:cNvSpPr>
          <a:spLocks/>
        </xdr:cNvSpPr>
      </xdr:nvSpPr>
      <xdr:spPr>
        <a:xfrm>
          <a:off x="1000125" y="65722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304800</xdr:colOff>
      <xdr:row>15</xdr:row>
      <xdr:rowOff>0</xdr:rowOff>
    </xdr:from>
    <xdr:to>
      <xdr:col>5</xdr:col>
      <xdr:colOff>276225</xdr:colOff>
      <xdr:row>15</xdr:row>
      <xdr:rowOff>0</xdr:rowOff>
    </xdr:to>
    <xdr:sp>
      <xdr:nvSpPr>
        <xdr:cNvPr id="28" name="Line 36"/>
        <xdr:cNvSpPr>
          <a:spLocks/>
        </xdr:cNvSpPr>
      </xdr:nvSpPr>
      <xdr:spPr>
        <a:xfrm>
          <a:off x="1000125" y="243840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15</xdr:row>
      <xdr:rowOff>0</xdr:rowOff>
    </xdr:to>
    <xdr:sp>
      <xdr:nvSpPr>
        <xdr:cNvPr id="29" name="Line 39"/>
        <xdr:cNvSpPr>
          <a:spLocks/>
        </xdr:cNvSpPr>
      </xdr:nvSpPr>
      <xdr:spPr>
        <a:xfrm>
          <a:off x="2266950" y="657225"/>
          <a:ext cx="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9</xdr:row>
      <xdr:rowOff>76200</xdr:rowOff>
    </xdr:from>
    <xdr:to>
      <xdr:col>9</xdr:col>
      <xdr:colOff>95250</xdr:colOff>
      <xdr:row>9</xdr:row>
      <xdr:rowOff>76200</xdr:rowOff>
    </xdr:to>
    <xdr:sp>
      <xdr:nvSpPr>
        <xdr:cNvPr id="30" name="Line 40"/>
        <xdr:cNvSpPr>
          <a:spLocks/>
        </xdr:cNvSpPr>
      </xdr:nvSpPr>
      <xdr:spPr>
        <a:xfrm>
          <a:off x="2847975" y="15430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14</xdr:row>
      <xdr:rowOff>66675</xdr:rowOff>
    </xdr:from>
    <xdr:to>
      <xdr:col>9</xdr:col>
      <xdr:colOff>95250</xdr:colOff>
      <xdr:row>14</xdr:row>
      <xdr:rowOff>66675</xdr:rowOff>
    </xdr:to>
    <xdr:sp>
      <xdr:nvSpPr>
        <xdr:cNvPr id="31" name="Line 41"/>
        <xdr:cNvSpPr>
          <a:spLocks/>
        </xdr:cNvSpPr>
      </xdr:nvSpPr>
      <xdr:spPr>
        <a:xfrm flipV="1">
          <a:off x="2847975" y="2343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76200</xdr:rowOff>
    </xdr:from>
    <xdr:to>
      <xdr:col>9</xdr:col>
      <xdr:colOff>0</xdr:colOff>
      <xdr:row>14</xdr:row>
      <xdr:rowOff>66675</xdr:rowOff>
    </xdr:to>
    <xdr:sp>
      <xdr:nvSpPr>
        <xdr:cNvPr id="32" name="Line 42"/>
        <xdr:cNvSpPr>
          <a:spLocks/>
        </xdr:cNvSpPr>
      </xdr:nvSpPr>
      <xdr:spPr>
        <a:xfrm>
          <a:off x="3219450" y="15430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11</xdr:row>
      <xdr:rowOff>0</xdr:rowOff>
    </xdr:from>
    <xdr:to>
      <xdr:col>3</xdr:col>
      <xdr:colOff>152400</xdr:colOff>
      <xdr:row>11</xdr:row>
      <xdr:rowOff>0</xdr:rowOff>
    </xdr:to>
    <xdr:sp>
      <xdr:nvSpPr>
        <xdr:cNvPr id="33" name="Line 44"/>
        <xdr:cNvSpPr>
          <a:spLocks/>
        </xdr:cNvSpPr>
      </xdr:nvSpPr>
      <xdr:spPr>
        <a:xfrm>
          <a:off x="838200" y="17907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200025</xdr:colOff>
      <xdr:row>14</xdr:row>
      <xdr:rowOff>0</xdr:rowOff>
    </xdr:from>
    <xdr:to>
      <xdr:col>3</xdr:col>
      <xdr:colOff>209550</xdr:colOff>
      <xdr:row>14</xdr:row>
      <xdr:rowOff>0</xdr:rowOff>
    </xdr:to>
    <xdr:sp>
      <xdr:nvSpPr>
        <xdr:cNvPr id="34" name="Line 45"/>
        <xdr:cNvSpPr>
          <a:spLocks/>
        </xdr:cNvSpPr>
      </xdr:nvSpPr>
      <xdr:spPr>
        <a:xfrm>
          <a:off x="895350" y="22764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9525</xdr:rowOff>
    </xdr:from>
    <xdr:to>
      <xdr:col>3</xdr:col>
      <xdr:colOff>47625</xdr:colOff>
      <xdr:row>14</xdr:row>
      <xdr:rowOff>9525</xdr:rowOff>
    </xdr:to>
    <xdr:sp>
      <xdr:nvSpPr>
        <xdr:cNvPr id="35" name="Line 47"/>
        <xdr:cNvSpPr>
          <a:spLocks/>
        </xdr:cNvSpPr>
      </xdr:nvSpPr>
      <xdr:spPr>
        <a:xfrm>
          <a:off x="1352550" y="18002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38100</xdr:rowOff>
    </xdr:from>
    <xdr:to>
      <xdr:col>1</xdr:col>
      <xdr:colOff>0</xdr:colOff>
      <xdr:row>21</xdr:row>
      <xdr:rowOff>66675</xdr:rowOff>
    </xdr:to>
    <xdr:sp>
      <xdr:nvSpPr>
        <xdr:cNvPr id="36" name="Line 48"/>
        <xdr:cNvSpPr>
          <a:spLocks/>
        </xdr:cNvSpPr>
      </xdr:nvSpPr>
      <xdr:spPr>
        <a:xfrm>
          <a:off x="695325" y="31527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19</xdr:row>
      <xdr:rowOff>47625</xdr:rowOff>
    </xdr:from>
    <xdr:to>
      <xdr:col>1</xdr:col>
      <xdr:colOff>295275</xdr:colOff>
      <xdr:row>21</xdr:row>
      <xdr:rowOff>57150</xdr:rowOff>
    </xdr:to>
    <xdr:sp>
      <xdr:nvSpPr>
        <xdr:cNvPr id="37" name="Line 49"/>
        <xdr:cNvSpPr>
          <a:spLocks/>
        </xdr:cNvSpPr>
      </xdr:nvSpPr>
      <xdr:spPr>
        <a:xfrm>
          <a:off x="990600" y="31623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1</xdr:col>
      <xdr:colOff>295275</xdr:colOff>
      <xdr:row>21</xdr:row>
      <xdr:rowOff>9525</xdr:rowOff>
    </xdr:to>
    <xdr:sp>
      <xdr:nvSpPr>
        <xdr:cNvPr id="38" name="Line 50"/>
        <xdr:cNvSpPr>
          <a:spLocks/>
        </xdr:cNvSpPr>
      </xdr:nvSpPr>
      <xdr:spPr>
        <a:xfrm>
          <a:off x="695325" y="34480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9525</xdr:rowOff>
    </xdr:from>
    <xdr:to>
      <xdr:col>3</xdr:col>
      <xdr:colOff>247650</xdr:colOff>
      <xdr:row>17</xdr:row>
      <xdr:rowOff>9525</xdr:rowOff>
    </xdr:to>
    <xdr:sp>
      <xdr:nvSpPr>
        <xdr:cNvPr id="39" name="Line 51"/>
        <xdr:cNvSpPr>
          <a:spLocks/>
        </xdr:cNvSpPr>
      </xdr:nvSpPr>
      <xdr:spPr>
        <a:xfrm>
          <a:off x="876300" y="27813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133350</xdr:colOff>
      <xdr:row>19</xdr:row>
      <xdr:rowOff>9525</xdr:rowOff>
    </xdr:from>
    <xdr:to>
      <xdr:col>3</xdr:col>
      <xdr:colOff>190500</xdr:colOff>
      <xdr:row>19</xdr:row>
      <xdr:rowOff>9525</xdr:rowOff>
    </xdr:to>
    <xdr:sp>
      <xdr:nvSpPr>
        <xdr:cNvPr id="40" name="Line 52"/>
        <xdr:cNvSpPr>
          <a:spLocks/>
        </xdr:cNvSpPr>
      </xdr:nvSpPr>
      <xdr:spPr>
        <a:xfrm>
          <a:off x="828675" y="31242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9525</xdr:colOff>
      <xdr:row>19</xdr:row>
      <xdr:rowOff>0</xdr:rowOff>
    </xdr:to>
    <xdr:sp>
      <xdr:nvSpPr>
        <xdr:cNvPr id="41" name="Line 53"/>
        <xdr:cNvSpPr>
          <a:spLocks/>
        </xdr:cNvSpPr>
      </xdr:nvSpPr>
      <xdr:spPr>
        <a:xfrm>
          <a:off x="1314450" y="27527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85725</xdr:rowOff>
    </xdr:from>
    <xdr:to>
      <xdr:col>6</xdr:col>
      <xdr:colOff>0</xdr:colOff>
      <xdr:row>21</xdr:row>
      <xdr:rowOff>38100</xdr:rowOff>
    </xdr:to>
    <xdr:sp>
      <xdr:nvSpPr>
        <xdr:cNvPr id="42" name="Line 54"/>
        <xdr:cNvSpPr>
          <a:spLocks/>
        </xdr:cNvSpPr>
      </xdr:nvSpPr>
      <xdr:spPr>
        <a:xfrm>
          <a:off x="2543175" y="32004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19</xdr:row>
      <xdr:rowOff>95250</xdr:rowOff>
    </xdr:from>
    <xdr:to>
      <xdr:col>6</xdr:col>
      <xdr:colOff>304800</xdr:colOff>
      <xdr:row>21</xdr:row>
      <xdr:rowOff>28575</xdr:rowOff>
    </xdr:to>
    <xdr:sp>
      <xdr:nvSpPr>
        <xdr:cNvPr id="43" name="Line 55"/>
        <xdr:cNvSpPr>
          <a:spLocks/>
        </xdr:cNvSpPr>
      </xdr:nvSpPr>
      <xdr:spPr>
        <a:xfrm>
          <a:off x="2847975" y="32099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152400</xdr:rowOff>
    </xdr:from>
    <xdr:to>
      <xdr:col>6</xdr:col>
      <xdr:colOff>304800</xdr:colOff>
      <xdr:row>20</xdr:row>
      <xdr:rowOff>152400</xdr:rowOff>
    </xdr:to>
    <xdr:sp>
      <xdr:nvSpPr>
        <xdr:cNvPr id="44" name="Line 57"/>
        <xdr:cNvSpPr>
          <a:spLocks/>
        </xdr:cNvSpPr>
      </xdr:nvSpPr>
      <xdr:spPr>
        <a:xfrm>
          <a:off x="2543175" y="34290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17</xdr:row>
      <xdr:rowOff>0</xdr:rowOff>
    </xdr:from>
    <xdr:to>
      <xdr:col>9</xdr:col>
      <xdr:colOff>47625</xdr:colOff>
      <xdr:row>17</xdr:row>
      <xdr:rowOff>0</xdr:rowOff>
    </xdr:to>
    <xdr:sp>
      <xdr:nvSpPr>
        <xdr:cNvPr id="45" name="Line 58"/>
        <xdr:cNvSpPr>
          <a:spLocks/>
        </xdr:cNvSpPr>
      </xdr:nvSpPr>
      <xdr:spPr>
        <a:xfrm>
          <a:off x="2847975" y="27717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19</xdr:row>
      <xdr:rowOff>0</xdr:rowOff>
    </xdr:from>
    <xdr:to>
      <xdr:col>9</xdr:col>
      <xdr:colOff>47625</xdr:colOff>
      <xdr:row>19</xdr:row>
      <xdr:rowOff>0</xdr:rowOff>
    </xdr:to>
    <xdr:sp>
      <xdr:nvSpPr>
        <xdr:cNvPr id="46" name="Line 59"/>
        <xdr:cNvSpPr>
          <a:spLocks/>
        </xdr:cNvSpPr>
      </xdr:nvSpPr>
      <xdr:spPr>
        <a:xfrm>
          <a:off x="2847975" y="31146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19</xdr:row>
      <xdr:rowOff>0</xdr:rowOff>
    </xdr:to>
    <xdr:sp>
      <xdr:nvSpPr>
        <xdr:cNvPr id="47" name="Line 60"/>
        <xdr:cNvSpPr>
          <a:spLocks/>
        </xdr:cNvSpPr>
      </xdr:nvSpPr>
      <xdr:spPr>
        <a:xfrm>
          <a:off x="3219450" y="27717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171450</xdr:colOff>
      <xdr:row>15</xdr:row>
      <xdr:rowOff>66675</xdr:rowOff>
    </xdr:from>
    <xdr:to>
      <xdr:col>6</xdr:col>
      <xdr:colOff>171450</xdr:colOff>
      <xdr:row>16</xdr:row>
      <xdr:rowOff>66675</xdr:rowOff>
    </xdr:to>
    <xdr:sp>
      <xdr:nvSpPr>
        <xdr:cNvPr id="48" name="Line 61"/>
        <xdr:cNvSpPr>
          <a:spLocks/>
        </xdr:cNvSpPr>
      </xdr:nvSpPr>
      <xdr:spPr>
        <a:xfrm>
          <a:off x="2714625" y="25050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</xdr:colOff>
      <xdr:row>15</xdr:row>
      <xdr:rowOff>57150</xdr:rowOff>
    </xdr:from>
    <xdr:to>
      <xdr:col>6</xdr:col>
      <xdr:colOff>66675</xdr:colOff>
      <xdr:row>16</xdr:row>
      <xdr:rowOff>57150</xdr:rowOff>
    </xdr:to>
    <xdr:sp>
      <xdr:nvSpPr>
        <xdr:cNvPr id="49" name="Line 62"/>
        <xdr:cNvSpPr>
          <a:spLocks/>
        </xdr:cNvSpPr>
      </xdr:nvSpPr>
      <xdr:spPr>
        <a:xfrm>
          <a:off x="2609850" y="24955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685800</xdr:colOff>
      <xdr:row>16</xdr:row>
      <xdr:rowOff>9525</xdr:rowOff>
    </xdr:from>
    <xdr:to>
      <xdr:col>6</xdr:col>
      <xdr:colOff>171450</xdr:colOff>
      <xdr:row>16</xdr:row>
      <xdr:rowOff>9525</xdr:rowOff>
    </xdr:to>
    <xdr:sp>
      <xdr:nvSpPr>
        <xdr:cNvPr id="50" name="Line 63"/>
        <xdr:cNvSpPr>
          <a:spLocks/>
        </xdr:cNvSpPr>
      </xdr:nvSpPr>
      <xdr:spPr>
        <a:xfrm>
          <a:off x="2266950" y="26098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</xdr:colOff>
      <xdr:row>16</xdr:row>
      <xdr:rowOff>0</xdr:rowOff>
    </xdr:from>
    <xdr:to>
      <xdr:col>6</xdr:col>
      <xdr:colOff>171450</xdr:colOff>
      <xdr:row>16</xdr:row>
      <xdr:rowOff>0</xdr:rowOff>
    </xdr:to>
    <xdr:sp>
      <xdr:nvSpPr>
        <xdr:cNvPr id="51" name="Line 64"/>
        <xdr:cNvSpPr>
          <a:spLocks/>
        </xdr:cNvSpPr>
      </xdr:nvSpPr>
      <xdr:spPr>
        <a:xfrm>
          <a:off x="2609850" y="2600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0</xdr:rowOff>
    </xdr:to>
    <xdr:sp>
      <xdr:nvSpPr>
        <xdr:cNvPr id="52" name="Line 65"/>
        <xdr:cNvSpPr>
          <a:spLocks/>
        </xdr:cNvSpPr>
      </xdr:nvSpPr>
      <xdr:spPr>
        <a:xfrm>
          <a:off x="2705100" y="11430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276225</xdr:colOff>
      <xdr:row>7</xdr:row>
      <xdr:rowOff>0</xdr:rowOff>
    </xdr:from>
    <xdr:to>
      <xdr:col>8</xdr:col>
      <xdr:colOff>9525</xdr:colOff>
      <xdr:row>7</xdr:row>
      <xdr:rowOff>0</xdr:rowOff>
    </xdr:to>
    <xdr:sp>
      <xdr:nvSpPr>
        <xdr:cNvPr id="53" name="Line 66"/>
        <xdr:cNvSpPr>
          <a:spLocks/>
        </xdr:cNvSpPr>
      </xdr:nvSpPr>
      <xdr:spPr>
        <a:xfrm>
          <a:off x="2819400" y="11430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15</xdr:row>
      <xdr:rowOff>0</xdr:rowOff>
    </xdr:to>
    <xdr:sp>
      <xdr:nvSpPr>
        <xdr:cNvPr id="54" name="Line 69"/>
        <xdr:cNvSpPr>
          <a:spLocks/>
        </xdr:cNvSpPr>
      </xdr:nvSpPr>
      <xdr:spPr>
        <a:xfrm>
          <a:off x="1581150" y="657225"/>
          <a:ext cx="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15</xdr:row>
      <xdr:rowOff>152400</xdr:rowOff>
    </xdr:from>
    <xdr:to>
      <xdr:col>1</xdr:col>
      <xdr:colOff>142875</xdr:colOff>
      <xdr:row>17</xdr:row>
      <xdr:rowOff>38100</xdr:rowOff>
    </xdr:to>
    <xdr:sp>
      <xdr:nvSpPr>
        <xdr:cNvPr id="55" name="Line 79"/>
        <xdr:cNvSpPr>
          <a:spLocks/>
        </xdr:cNvSpPr>
      </xdr:nvSpPr>
      <xdr:spPr>
        <a:xfrm>
          <a:off x="838200" y="25908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552450</xdr:colOff>
      <xdr:row>18</xdr:row>
      <xdr:rowOff>9525</xdr:rowOff>
    </xdr:from>
    <xdr:to>
      <xdr:col>4</xdr:col>
      <xdr:colOff>85725</xdr:colOff>
      <xdr:row>18</xdr:row>
      <xdr:rowOff>9525</xdr:rowOff>
    </xdr:to>
    <xdr:sp>
      <xdr:nvSpPr>
        <xdr:cNvPr id="56" name="Line 80"/>
        <xdr:cNvSpPr>
          <a:spLocks/>
        </xdr:cNvSpPr>
      </xdr:nvSpPr>
      <xdr:spPr>
        <a:xfrm>
          <a:off x="552450" y="29527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133350</xdr:colOff>
      <xdr:row>19</xdr:row>
      <xdr:rowOff>9525</xdr:rowOff>
    </xdr:from>
    <xdr:to>
      <xdr:col>1</xdr:col>
      <xdr:colOff>133350</xdr:colOff>
      <xdr:row>19</xdr:row>
      <xdr:rowOff>76200</xdr:rowOff>
    </xdr:to>
    <xdr:sp>
      <xdr:nvSpPr>
        <xdr:cNvPr id="57" name="Line 81"/>
        <xdr:cNvSpPr>
          <a:spLocks/>
        </xdr:cNvSpPr>
      </xdr:nvSpPr>
      <xdr:spPr>
        <a:xfrm>
          <a:off x="828675" y="31242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133350</xdr:colOff>
      <xdr:row>16</xdr:row>
      <xdr:rowOff>19050</xdr:rowOff>
    </xdr:from>
    <xdr:to>
      <xdr:col>6</xdr:col>
      <xdr:colOff>133350</xdr:colOff>
      <xdr:row>19</xdr:row>
      <xdr:rowOff>133350</xdr:rowOff>
    </xdr:to>
    <xdr:sp>
      <xdr:nvSpPr>
        <xdr:cNvPr id="58" name="Line 84"/>
        <xdr:cNvSpPr>
          <a:spLocks/>
        </xdr:cNvSpPr>
      </xdr:nvSpPr>
      <xdr:spPr>
        <a:xfrm>
          <a:off x="2676525" y="2619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85725</xdr:colOff>
      <xdr:row>18</xdr:row>
      <xdr:rowOff>9525</xdr:rowOff>
    </xdr:from>
    <xdr:to>
      <xdr:col>9</xdr:col>
      <xdr:colOff>323850</xdr:colOff>
      <xdr:row>18</xdr:row>
      <xdr:rowOff>9525</xdr:rowOff>
    </xdr:to>
    <xdr:sp>
      <xdr:nvSpPr>
        <xdr:cNvPr id="59" name="Line 85"/>
        <xdr:cNvSpPr>
          <a:spLocks/>
        </xdr:cNvSpPr>
      </xdr:nvSpPr>
      <xdr:spPr>
        <a:xfrm>
          <a:off x="2352675" y="29527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14</xdr:row>
      <xdr:rowOff>9525</xdr:rowOff>
    </xdr:from>
    <xdr:to>
      <xdr:col>4</xdr:col>
      <xdr:colOff>333375</xdr:colOff>
      <xdr:row>15</xdr:row>
      <xdr:rowOff>9525</xdr:rowOff>
    </xdr:to>
    <xdr:sp>
      <xdr:nvSpPr>
        <xdr:cNvPr id="1" name="AutoShape 64"/>
        <xdr:cNvSpPr>
          <a:spLocks/>
        </xdr:cNvSpPr>
      </xdr:nvSpPr>
      <xdr:spPr>
        <a:xfrm flipV="1">
          <a:off x="1971675" y="2333625"/>
          <a:ext cx="228600" cy="152400"/>
        </a:xfrm>
        <a:prstGeom prst="rtTriangl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4</xdr:col>
      <xdr:colOff>133350</xdr:colOff>
      <xdr:row>15</xdr:row>
      <xdr:rowOff>0</xdr:rowOff>
    </xdr:to>
    <xdr:sp>
      <xdr:nvSpPr>
        <xdr:cNvPr id="2" name="Rectangle 62"/>
        <xdr:cNvSpPr>
          <a:spLocks/>
        </xdr:cNvSpPr>
      </xdr:nvSpPr>
      <xdr:spPr>
        <a:xfrm>
          <a:off x="866775" y="2324100"/>
          <a:ext cx="11334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85725</xdr:rowOff>
    </xdr:from>
    <xdr:to>
      <xdr:col>5</xdr:col>
      <xdr:colOff>609600</xdr:colOff>
      <xdr:row>13</xdr:row>
      <xdr:rowOff>161925</xdr:rowOff>
    </xdr:to>
    <xdr:sp>
      <xdr:nvSpPr>
        <xdr:cNvPr id="3" name="Rectangle 56"/>
        <xdr:cNvSpPr>
          <a:spLocks/>
        </xdr:cNvSpPr>
      </xdr:nvSpPr>
      <xdr:spPr>
        <a:xfrm>
          <a:off x="876300" y="1914525"/>
          <a:ext cx="2286000" cy="400050"/>
        </a:xfrm>
        <a:prstGeom prst="rect">
          <a:avLst/>
        </a:prstGeom>
        <a:solidFill>
          <a:srgbClr val="FFFF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609600</xdr:colOff>
      <xdr:row>9</xdr:row>
      <xdr:rowOff>76200</xdr:rowOff>
    </xdr:from>
    <xdr:to>
      <xdr:col>5</xdr:col>
      <xdr:colOff>104775</xdr:colOff>
      <xdr:row>11</xdr:row>
      <xdr:rowOff>28575</xdr:rowOff>
    </xdr:to>
    <xdr:sp>
      <xdr:nvSpPr>
        <xdr:cNvPr id="4" name="Rectangle 57"/>
        <xdr:cNvSpPr>
          <a:spLocks/>
        </xdr:cNvSpPr>
      </xdr:nvSpPr>
      <xdr:spPr>
        <a:xfrm rot="9180000">
          <a:off x="1476375" y="1581150"/>
          <a:ext cx="1181100" cy="276225"/>
        </a:xfrm>
        <a:prstGeom prst="rect">
          <a:avLst/>
        </a:prstGeom>
        <a:solidFill>
          <a:srgbClr val="FFCC99">
            <a:alpha val="5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76200</xdr:rowOff>
    </xdr:from>
    <xdr:to>
      <xdr:col>3</xdr:col>
      <xdr:colOff>9525</xdr:colOff>
      <xdr:row>11</xdr:row>
      <xdr:rowOff>85725</xdr:rowOff>
    </xdr:to>
    <xdr:sp>
      <xdr:nvSpPr>
        <xdr:cNvPr id="5" name="Line 8"/>
        <xdr:cNvSpPr>
          <a:spLocks/>
        </xdr:cNvSpPr>
      </xdr:nvSpPr>
      <xdr:spPr>
        <a:xfrm>
          <a:off x="866775" y="1905000"/>
          <a:ext cx="638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76200</xdr:rowOff>
    </xdr:from>
    <xdr:to>
      <xdr:col>2</xdr:col>
      <xdr:colOff>0</xdr:colOff>
      <xdr:row>14</xdr:row>
      <xdr:rowOff>0</xdr:rowOff>
    </xdr:to>
    <xdr:sp>
      <xdr:nvSpPr>
        <xdr:cNvPr id="6" name="Line 9"/>
        <xdr:cNvSpPr>
          <a:spLocks/>
        </xdr:cNvSpPr>
      </xdr:nvSpPr>
      <xdr:spPr>
        <a:xfrm>
          <a:off x="866775" y="1905000"/>
          <a:ext cx="0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" name="Line 10"/>
        <xdr:cNvSpPr>
          <a:spLocks/>
        </xdr:cNvSpPr>
      </xdr:nvSpPr>
      <xdr:spPr>
        <a:xfrm>
          <a:off x="866775" y="2324100"/>
          <a:ext cx="23050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7</xdr:row>
      <xdr:rowOff>152400</xdr:rowOff>
    </xdr:from>
    <xdr:to>
      <xdr:col>5</xdr:col>
      <xdr:colOff>333375</xdr:colOff>
      <xdr:row>13</xdr:row>
      <xdr:rowOff>38100</xdr:rowOff>
    </xdr:to>
    <xdr:sp>
      <xdr:nvSpPr>
        <xdr:cNvPr id="8" name="Line 14"/>
        <xdr:cNvSpPr>
          <a:spLocks/>
        </xdr:cNvSpPr>
      </xdr:nvSpPr>
      <xdr:spPr>
        <a:xfrm flipH="1">
          <a:off x="1095375" y="1333500"/>
          <a:ext cx="1790700" cy="857250"/>
        </a:xfrm>
        <a:prstGeom prst="line">
          <a:avLst/>
        </a:prstGeom>
        <a:noFill/>
        <a:ln w="12700" cmpd="sng">
          <a:solidFill>
            <a:srgbClr val="00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466725</xdr:colOff>
      <xdr:row>13</xdr:row>
      <xdr:rowOff>0</xdr:rowOff>
    </xdr:from>
    <xdr:to>
      <xdr:col>5</xdr:col>
      <xdr:colOff>571500</xdr:colOff>
      <xdr:row>13</xdr:row>
      <xdr:rowOff>0</xdr:rowOff>
    </xdr:to>
    <xdr:sp>
      <xdr:nvSpPr>
        <xdr:cNvPr id="9" name="Line 15"/>
        <xdr:cNvSpPr>
          <a:spLocks/>
        </xdr:cNvSpPr>
      </xdr:nvSpPr>
      <xdr:spPr>
        <a:xfrm>
          <a:off x="866775" y="2152650"/>
          <a:ext cx="2257425" cy="0"/>
        </a:xfrm>
        <a:prstGeom prst="line">
          <a:avLst/>
        </a:prstGeom>
        <a:noFill/>
        <a:ln w="12700" cmpd="sng">
          <a:solidFill>
            <a:srgbClr val="00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314325</xdr:colOff>
      <xdr:row>12</xdr:row>
      <xdr:rowOff>57150</xdr:rowOff>
    </xdr:from>
    <xdr:to>
      <xdr:col>2</xdr:col>
      <xdr:colOff>314325</xdr:colOff>
      <xdr:row>17</xdr:row>
      <xdr:rowOff>57150</xdr:rowOff>
    </xdr:to>
    <xdr:sp>
      <xdr:nvSpPr>
        <xdr:cNvPr id="10" name="Line 16"/>
        <xdr:cNvSpPr>
          <a:spLocks/>
        </xdr:cNvSpPr>
      </xdr:nvSpPr>
      <xdr:spPr>
        <a:xfrm>
          <a:off x="1181100" y="2047875"/>
          <a:ext cx="0" cy="819150"/>
        </a:xfrm>
        <a:prstGeom prst="line">
          <a:avLst/>
        </a:prstGeom>
        <a:noFill/>
        <a:ln w="12700" cmpd="sng">
          <a:solidFill>
            <a:srgbClr val="00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10</xdr:row>
      <xdr:rowOff>95250</xdr:rowOff>
    </xdr:from>
    <xdr:to>
      <xdr:col>4</xdr:col>
      <xdr:colOff>228600</xdr:colOff>
      <xdr:row>14</xdr:row>
      <xdr:rowOff>133350</xdr:rowOff>
    </xdr:to>
    <xdr:sp>
      <xdr:nvSpPr>
        <xdr:cNvPr id="11" name="Line 17"/>
        <xdr:cNvSpPr>
          <a:spLocks/>
        </xdr:cNvSpPr>
      </xdr:nvSpPr>
      <xdr:spPr>
        <a:xfrm>
          <a:off x="1619250" y="1762125"/>
          <a:ext cx="476250" cy="695325"/>
        </a:xfrm>
        <a:prstGeom prst="line">
          <a:avLst/>
        </a:prstGeom>
        <a:noFill/>
        <a:ln w="28575" cmpd="sng">
          <a:solidFill>
            <a:srgbClr val="000000"/>
          </a:solidFill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133350</xdr:rowOff>
    </xdr:to>
    <xdr:sp>
      <xdr:nvSpPr>
        <xdr:cNvPr id="12" name="Line 18"/>
        <xdr:cNvSpPr>
          <a:spLocks/>
        </xdr:cNvSpPr>
      </xdr:nvSpPr>
      <xdr:spPr>
        <a:xfrm>
          <a:off x="866775" y="2324100"/>
          <a:ext cx="0" cy="133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142875</xdr:rowOff>
    </xdr:from>
    <xdr:to>
      <xdr:col>4</xdr:col>
      <xdr:colOff>133350</xdr:colOff>
      <xdr:row>14</xdr:row>
      <xdr:rowOff>142875</xdr:rowOff>
    </xdr:to>
    <xdr:sp>
      <xdr:nvSpPr>
        <xdr:cNvPr id="13" name="Line 19"/>
        <xdr:cNvSpPr>
          <a:spLocks/>
        </xdr:cNvSpPr>
      </xdr:nvSpPr>
      <xdr:spPr>
        <a:xfrm>
          <a:off x="866775" y="2466975"/>
          <a:ext cx="11334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171450</xdr:colOff>
      <xdr:row>14</xdr:row>
      <xdr:rowOff>142875</xdr:rowOff>
    </xdr:from>
    <xdr:to>
      <xdr:col>2</xdr:col>
      <xdr:colOff>476250</xdr:colOff>
      <xdr:row>15</xdr:row>
      <xdr:rowOff>57150</xdr:rowOff>
    </xdr:to>
    <xdr:sp>
      <xdr:nvSpPr>
        <xdr:cNvPr id="14" name="Rectangle 22"/>
        <xdr:cNvSpPr>
          <a:spLocks/>
        </xdr:cNvSpPr>
      </xdr:nvSpPr>
      <xdr:spPr>
        <a:xfrm>
          <a:off x="1038225" y="2466975"/>
          <a:ext cx="304800" cy="66675"/>
        </a:xfrm>
        <a:prstGeom prst="rect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14</xdr:row>
      <xdr:rowOff>76200</xdr:rowOff>
    </xdr:to>
    <xdr:sp>
      <xdr:nvSpPr>
        <xdr:cNvPr id="15" name="Line 24"/>
        <xdr:cNvSpPr>
          <a:spLocks/>
        </xdr:cNvSpPr>
      </xdr:nvSpPr>
      <xdr:spPr>
        <a:xfrm>
          <a:off x="3171825" y="18383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142875</xdr:colOff>
      <xdr:row>5</xdr:row>
      <xdr:rowOff>104775</xdr:rowOff>
    </xdr:from>
    <xdr:to>
      <xdr:col>6</xdr:col>
      <xdr:colOff>400050</xdr:colOff>
      <xdr:row>7</xdr:row>
      <xdr:rowOff>104775</xdr:rowOff>
    </xdr:to>
    <xdr:sp>
      <xdr:nvSpPr>
        <xdr:cNvPr id="16" name="Rectangle 25" descr="Светлый диагональный 2"/>
        <xdr:cNvSpPr>
          <a:spLocks/>
        </xdr:cNvSpPr>
      </xdr:nvSpPr>
      <xdr:spPr>
        <a:xfrm rot="9000000">
          <a:off x="3314700" y="952500"/>
          <a:ext cx="257175" cy="3333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266700</xdr:colOff>
      <xdr:row>11</xdr:row>
      <xdr:rowOff>76200</xdr:rowOff>
    </xdr:from>
    <xdr:to>
      <xdr:col>6</xdr:col>
      <xdr:colOff>542925</xdr:colOff>
      <xdr:row>14</xdr:row>
      <xdr:rowOff>0</xdr:rowOff>
    </xdr:to>
    <xdr:sp>
      <xdr:nvSpPr>
        <xdr:cNvPr id="17" name="Rectangle 26" descr="Светлый диагональный 2"/>
        <xdr:cNvSpPr>
          <a:spLocks/>
        </xdr:cNvSpPr>
      </xdr:nvSpPr>
      <xdr:spPr>
        <a:xfrm>
          <a:off x="3438525" y="1905000"/>
          <a:ext cx="276225" cy="4191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542925</xdr:colOff>
      <xdr:row>14</xdr:row>
      <xdr:rowOff>28575</xdr:rowOff>
    </xdr:from>
    <xdr:to>
      <xdr:col>6</xdr:col>
      <xdr:colOff>542925</xdr:colOff>
      <xdr:row>14</xdr:row>
      <xdr:rowOff>133350</xdr:rowOff>
    </xdr:to>
    <xdr:sp>
      <xdr:nvSpPr>
        <xdr:cNvPr id="18" name="Line 28"/>
        <xdr:cNvSpPr>
          <a:spLocks/>
        </xdr:cNvSpPr>
      </xdr:nvSpPr>
      <xdr:spPr>
        <a:xfrm>
          <a:off x="3714750" y="2352675"/>
          <a:ext cx="0" cy="104775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266700</xdr:colOff>
      <xdr:row>14</xdr:row>
      <xdr:rowOff>19050</xdr:rowOff>
    </xdr:from>
    <xdr:to>
      <xdr:col>6</xdr:col>
      <xdr:colOff>266700</xdr:colOff>
      <xdr:row>14</xdr:row>
      <xdr:rowOff>133350</xdr:rowOff>
    </xdr:to>
    <xdr:sp>
      <xdr:nvSpPr>
        <xdr:cNvPr id="19" name="Line 29"/>
        <xdr:cNvSpPr>
          <a:spLocks/>
        </xdr:cNvSpPr>
      </xdr:nvSpPr>
      <xdr:spPr>
        <a:xfrm>
          <a:off x="3438525" y="2343150"/>
          <a:ext cx="0" cy="11430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266700</xdr:colOff>
      <xdr:row>14</xdr:row>
      <xdr:rowOff>104775</xdr:rowOff>
    </xdr:from>
    <xdr:to>
      <xdr:col>6</xdr:col>
      <xdr:colOff>542925</xdr:colOff>
      <xdr:row>14</xdr:row>
      <xdr:rowOff>104775</xdr:rowOff>
    </xdr:to>
    <xdr:sp>
      <xdr:nvSpPr>
        <xdr:cNvPr id="20" name="Line 30"/>
        <xdr:cNvSpPr>
          <a:spLocks/>
        </xdr:cNvSpPr>
      </xdr:nvSpPr>
      <xdr:spPr>
        <a:xfrm>
          <a:off x="3438525" y="2428875"/>
          <a:ext cx="276225" cy="0"/>
        </a:xfrm>
        <a:prstGeom prst="line">
          <a:avLst/>
        </a:prstGeom>
        <a:noFill/>
        <a:ln w="12700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619125</xdr:colOff>
      <xdr:row>14</xdr:row>
      <xdr:rowOff>0</xdr:rowOff>
    </xdr:from>
    <xdr:to>
      <xdr:col>7</xdr:col>
      <xdr:colOff>57150</xdr:colOff>
      <xdr:row>14</xdr:row>
      <xdr:rowOff>0</xdr:rowOff>
    </xdr:to>
    <xdr:sp>
      <xdr:nvSpPr>
        <xdr:cNvPr id="21" name="Line 32"/>
        <xdr:cNvSpPr>
          <a:spLocks/>
        </xdr:cNvSpPr>
      </xdr:nvSpPr>
      <xdr:spPr>
        <a:xfrm>
          <a:off x="3790950" y="2324100"/>
          <a:ext cx="12382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581025</xdr:colOff>
      <xdr:row>11</xdr:row>
      <xdr:rowOff>66675</xdr:rowOff>
    </xdr:from>
    <xdr:to>
      <xdr:col>7</xdr:col>
      <xdr:colOff>47625</xdr:colOff>
      <xdr:row>11</xdr:row>
      <xdr:rowOff>66675</xdr:rowOff>
    </xdr:to>
    <xdr:sp>
      <xdr:nvSpPr>
        <xdr:cNvPr id="22" name="Line 33"/>
        <xdr:cNvSpPr>
          <a:spLocks/>
        </xdr:cNvSpPr>
      </xdr:nvSpPr>
      <xdr:spPr>
        <a:xfrm>
          <a:off x="3752850" y="1895475"/>
          <a:ext cx="152400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66675</xdr:rowOff>
    </xdr:from>
    <xdr:to>
      <xdr:col>7</xdr:col>
      <xdr:colOff>0</xdr:colOff>
      <xdr:row>14</xdr:row>
      <xdr:rowOff>0</xdr:rowOff>
    </xdr:to>
    <xdr:sp>
      <xdr:nvSpPr>
        <xdr:cNvPr id="23" name="Line 34"/>
        <xdr:cNvSpPr>
          <a:spLocks/>
        </xdr:cNvSpPr>
      </xdr:nvSpPr>
      <xdr:spPr>
        <a:xfrm>
          <a:off x="3857625" y="1895475"/>
          <a:ext cx="0" cy="428625"/>
        </a:xfrm>
        <a:prstGeom prst="line">
          <a:avLst/>
        </a:prstGeom>
        <a:noFill/>
        <a:ln w="12700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428625</xdr:colOff>
      <xdr:row>8</xdr:row>
      <xdr:rowOff>85725</xdr:rowOff>
    </xdr:from>
    <xdr:to>
      <xdr:col>5</xdr:col>
      <xdr:colOff>161925</xdr:colOff>
      <xdr:row>9</xdr:row>
      <xdr:rowOff>104775</xdr:rowOff>
    </xdr:to>
    <xdr:sp>
      <xdr:nvSpPr>
        <xdr:cNvPr id="24" name="Line 35"/>
        <xdr:cNvSpPr>
          <a:spLocks/>
        </xdr:cNvSpPr>
      </xdr:nvSpPr>
      <xdr:spPr>
        <a:xfrm flipV="1">
          <a:off x="2295525" y="1428750"/>
          <a:ext cx="419100" cy="180975"/>
        </a:xfrm>
        <a:prstGeom prst="line">
          <a:avLst/>
        </a:prstGeom>
        <a:noFill/>
        <a:ln w="28575" cmpd="sng">
          <a:solidFill>
            <a:srgbClr val="FF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266700</xdr:colOff>
      <xdr:row>12</xdr:row>
      <xdr:rowOff>76200</xdr:rowOff>
    </xdr:from>
    <xdr:to>
      <xdr:col>3</xdr:col>
      <xdr:colOff>76200</xdr:colOff>
      <xdr:row>12</xdr:row>
      <xdr:rowOff>76200</xdr:rowOff>
    </xdr:to>
    <xdr:sp>
      <xdr:nvSpPr>
        <xdr:cNvPr id="25" name="Line 36"/>
        <xdr:cNvSpPr>
          <a:spLocks/>
        </xdr:cNvSpPr>
      </xdr:nvSpPr>
      <xdr:spPr>
        <a:xfrm flipH="1">
          <a:off x="666750" y="2066925"/>
          <a:ext cx="90487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11</xdr:row>
      <xdr:rowOff>76200</xdr:rowOff>
    </xdr:from>
    <xdr:to>
      <xdr:col>2</xdr:col>
      <xdr:colOff>0</xdr:colOff>
      <xdr:row>11</xdr:row>
      <xdr:rowOff>76200</xdr:rowOff>
    </xdr:to>
    <xdr:sp>
      <xdr:nvSpPr>
        <xdr:cNvPr id="26" name="Line 37"/>
        <xdr:cNvSpPr>
          <a:spLocks/>
        </xdr:cNvSpPr>
      </xdr:nvSpPr>
      <xdr:spPr>
        <a:xfrm flipH="1">
          <a:off x="628650" y="1905000"/>
          <a:ext cx="23812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342900</xdr:colOff>
      <xdr:row>11</xdr:row>
      <xdr:rowOff>85725</xdr:rowOff>
    </xdr:from>
    <xdr:to>
      <xdr:col>1</xdr:col>
      <xdr:colOff>342900</xdr:colOff>
      <xdr:row>12</xdr:row>
      <xdr:rowOff>76200</xdr:rowOff>
    </xdr:to>
    <xdr:sp>
      <xdr:nvSpPr>
        <xdr:cNvPr id="27" name="Line 39"/>
        <xdr:cNvSpPr>
          <a:spLocks/>
        </xdr:cNvSpPr>
      </xdr:nvSpPr>
      <xdr:spPr>
        <a:xfrm>
          <a:off x="742950" y="1914525"/>
          <a:ext cx="0" cy="152400"/>
        </a:xfrm>
        <a:prstGeom prst="line">
          <a:avLst/>
        </a:prstGeom>
        <a:noFill/>
        <a:ln w="12700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0</xdr:colOff>
      <xdr:row>9</xdr:row>
      <xdr:rowOff>133350</xdr:rowOff>
    </xdr:to>
    <xdr:sp>
      <xdr:nvSpPr>
        <xdr:cNvPr id="28" name="Line 40"/>
        <xdr:cNvSpPr>
          <a:spLocks/>
        </xdr:cNvSpPr>
      </xdr:nvSpPr>
      <xdr:spPr>
        <a:xfrm>
          <a:off x="866775" y="1323975"/>
          <a:ext cx="0" cy="314325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7</xdr:row>
      <xdr:rowOff>142875</xdr:rowOff>
    </xdr:from>
    <xdr:to>
      <xdr:col>3</xdr:col>
      <xdr:colOff>95250</xdr:colOff>
      <xdr:row>10</xdr:row>
      <xdr:rowOff>9525</xdr:rowOff>
    </xdr:to>
    <xdr:sp>
      <xdr:nvSpPr>
        <xdr:cNvPr id="29" name="Line 41"/>
        <xdr:cNvSpPr>
          <a:spLocks/>
        </xdr:cNvSpPr>
      </xdr:nvSpPr>
      <xdr:spPr>
        <a:xfrm>
          <a:off x="1590675" y="1323975"/>
          <a:ext cx="0" cy="352425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28575</xdr:rowOff>
    </xdr:from>
    <xdr:to>
      <xdr:col>3</xdr:col>
      <xdr:colOff>123825</xdr:colOff>
      <xdr:row>8</xdr:row>
      <xdr:rowOff>28575</xdr:rowOff>
    </xdr:to>
    <xdr:sp>
      <xdr:nvSpPr>
        <xdr:cNvPr id="30" name="Line 42"/>
        <xdr:cNvSpPr>
          <a:spLocks/>
        </xdr:cNvSpPr>
      </xdr:nvSpPr>
      <xdr:spPr>
        <a:xfrm>
          <a:off x="876300" y="1371600"/>
          <a:ext cx="742950" cy="0"/>
        </a:xfrm>
        <a:prstGeom prst="line">
          <a:avLst/>
        </a:prstGeom>
        <a:noFill/>
        <a:ln w="12700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142875</xdr:colOff>
      <xdr:row>9</xdr:row>
      <xdr:rowOff>0</xdr:rowOff>
    </xdr:from>
    <xdr:to>
      <xdr:col>5</xdr:col>
      <xdr:colOff>371475</xdr:colOff>
      <xdr:row>9</xdr:row>
      <xdr:rowOff>114300</xdr:rowOff>
    </xdr:to>
    <xdr:sp>
      <xdr:nvSpPr>
        <xdr:cNvPr id="31" name="Line 43"/>
        <xdr:cNvSpPr>
          <a:spLocks/>
        </xdr:cNvSpPr>
      </xdr:nvSpPr>
      <xdr:spPr>
        <a:xfrm flipV="1">
          <a:off x="2695575" y="1504950"/>
          <a:ext cx="2286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238125</xdr:colOff>
      <xdr:row>9</xdr:row>
      <xdr:rowOff>85725</xdr:rowOff>
    </xdr:from>
    <xdr:to>
      <xdr:col>5</xdr:col>
      <xdr:colOff>457200</xdr:colOff>
      <xdr:row>11</xdr:row>
      <xdr:rowOff>76200</xdr:rowOff>
    </xdr:to>
    <xdr:sp>
      <xdr:nvSpPr>
        <xdr:cNvPr id="32" name="Arc 45"/>
        <xdr:cNvSpPr>
          <a:spLocks/>
        </xdr:cNvSpPr>
      </xdr:nvSpPr>
      <xdr:spPr>
        <a:xfrm>
          <a:off x="2790825" y="1590675"/>
          <a:ext cx="219075" cy="314325"/>
        </a:xfrm>
        <a:custGeom>
          <a:pathLst>
            <a:path fill="none" h="37306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7543"/>
                <a:pt x="19150" y="33225"/>
                <a:pt x="14828" y="37305"/>
              </a:cubicBezTo>
            </a:path>
            <a:path stroke="0" h="37306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7543"/>
                <a:pt x="19150" y="33225"/>
                <a:pt x="14828" y="37305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142875</xdr:colOff>
      <xdr:row>11</xdr:row>
      <xdr:rowOff>152400</xdr:rowOff>
    </xdr:from>
    <xdr:to>
      <xdr:col>5</xdr:col>
      <xdr:colOff>57150</xdr:colOff>
      <xdr:row>11</xdr:row>
      <xdr:rowOff>152400</xdr:rowOff>
    </xdr:to>
    <xdr:sp>
      <xdr:nvSpPr>
        <xdr:cNvPr id="33" name="Line 46"/>
        <xdr:cNvSpPr>
          <a:spLocks/>
        </xdr:cNvSpPr>
      </xdr:nvSpPr>
      <xdr:spPr>
        <a:xfrm>
          <a:off x="2009775" y="1981200"/>
          <a:ext cx="600075" cy="0"/>
        </a:xfrm>
        <a:prstGeom prst="line">
          <a:avLst/>
        </a:prstGeom>
        <a:noFill/>
        <a:ln w="28575" cmpd="sng">
          <a:solidFill>
            <a:srgbClr val="FF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409575</xdr:colOff>
      <xdr:row>6</xdr:row>
      <xdr:rowOff>0</xdr:rowOff>
    </xdr:from>
    <xdr:to>
      <xdr:col>2</xdr:col>
      <xdr:colOff>552450</xdr:colOff>
      <xdr:row>6</xdr:row>
      <xdr:rowOff>142875</xdr:rowOff>
    </xdr:to>
    <xdr:sp>
      <xdr:nvSpPr>
        <xdr:cNvPr id="34" name="Line 51"/>
        <xdr:cNvSpPr>
          <a:spLocks/>
        </xdr:cNvSpPr>
      </xdr:nvSpPr>
      <xdr:spPr>
        <a:xfrm flipH="1" flipV="1">
          <a:off x="809625" y="1019175"/>
          <a:ext cx="6096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447675</xdr:colOff>
      <xdr:row>6</xdr:row>
      <xdr:rowOff>9525</xdr:rowOff>
    </xdr:from>
    <xdr:to>
      <xdr:col>4</xdr:col>
      <xdr:colOff>428625</xdr:colOff>
      <xdr:row>6</xdr:row>
      <xdr:rowOff>9525</xdr:rowOff>
    </xdr:to>
    <xdr:sp>
      <xdr:nvSpPr>
        <xdr:cNvPr id="35" name="Line 52"/>
        <xdr:cNvSpPr>
          <a:spLocks/>
        </xdr:cNvSpPr>
      </xdr:nvSpPr>
      <xdr:spPr>
        <a:xfrm>
          <a:off x="847725" y="10287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152400</xdr:colOff>
      <xdr:row>11</xdr:row>
      <xdr:rowOff>85725</xdr:rowOff>
    </xdr:from>
    <xdr:to>
      <xdr:col>5</xdr:col>
      <xdr:colOff>609600</xdr:colOff>
      <xdr:row>11</xdr:row>
      <xdr:rowOff>85725</xdr:rowOff>
    </xdr:to>
    <xdr:sp>
      <xdr:nvSpPr>
        <xdr:cNvPr id="36" name="Line 59"/>
        <xdr:cNvSpPr>
          <a:spLocks/>
        </xdr:cNvSpPr>
      </xdr:nvSpPr>
      <xdr:spPr>
        <a:xfrm>
          <a:off x="2019300" y="1914525"/>
          <a:ext cx="11430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14</xdr:row>
      <xdr:rowOff>47625</xdr:rowOff>
    </xdr:from>
    <xdr:to>
      <xdr:col>4</xdr:col>
      <xdr:colOff>323850</xdr:colOff>
      <xdr:row>15</xdr:row>
      <xdr:rowOff>0</xdr:rowOff>
    </xdr:to>
    <xdr:sp>
      <xdr:nvSpPr>
        <xdr:cNvPr id="37" name="Line 60"/>
        <xdr:cNvSpPr>
          <a:spLocks/>
        </xdr:cNvSpPr>
      </xdr:nvSpPr>
      <xdr:spPr>
        <a:xfrm flipV="1">
          <a:off x="1952625" y="2371725"/>
          <a:ext cx="238125" cy="104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314325</xdr:colOff>
      <xdr:row>14</xdr:row>
      <xdr:rowOff>0</xdr:rowOff>
    </xdr:from>
    <xdr:to>
      <xdr:col>4</xdr:col>
      <xdr:colOff>314325</xdr:colOff>
      <xdr:row>14</xdr:row>
      <xdr:rowOff>66675</xdr:rowOff>
    </xdr:to>
    <xdr:sp>
      <xdr:nvSpPr>
        <xdr:cNvPr id="38" name="Line 61"/>
        <xdr:cNvSpPr>
          <a:spLocks/>
        </xdr:cNvSpPr>
      </xdr:nvSpPr>
      <xdr:spPr>
        <a:xfrm flipV="1">
          <a:off x="2181225" y="2324100"/>
          <a:ext cx="0" cy="66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314325</xdr:colOff>
      <xdr:row>15</xdr:row>
      <xdr:rowOff>85725</xdr:rowOff>
    </xdr:from>
    <xdr:to>
      <xdr:col>2</xdr:col>
      <xdr:colOff>314325</xdr:colOff>
      <xdr:row>17</xdr:row>
      <xdr:rowOff>152400</xdr:rowOff>
    </xdr:to>
    <xdr:sp>
      <xdr:nvSpPr>
        <xdr:cNvPr id="39" name="Line 65"/>
        <xdr:cNvSpPr>
          <a:spLocks/>
        </xdr:cNvSpPr>
      </xdr:nvSpPr>
      <xdr:spPr>
        <a:xfrm>
          <a:off x="1181100" y="2562225"/>
          <a:ext cx="0" cy="400050"/>
        </a:xfrm>
        <a:prstGeom prst="line">
          <a:avLst/>
        </a:prstGeom>
        <a:noFill/>
        <a:ln w="28575" cmpd="sng">
          <a:solidFill>
            <a:srgbClr val="FF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A1" sqref="A1"/>
      <selection activeCell="C8" sqref="C8"/>
      <selection activeCell="A1" sqref="A1"/>
    </sheetView>
  </sheetViews>
  <sheetFormatPr defaultColWidth="9.00390625" defaultRowHeight="12.75"/>
  <cols>
    <col min="1" max="1" width="9.875" style="0" customWidth="1"/>
    <col min="2" max="2" width="22.00390625" style="0" customWidth="1"/>
    <col min="3" max="3" width="8.625" style="0" customWidth="1"/>
    <col min="4" max="4" width="3.375" style="0" customWidth="1"/>
    <col min="5" max="5" width="19.25390625" style="0" customWidth="1"/>
    <col min="6" max="6" width="10.625" style="0" customWidth="1"/>
    <col min="7" max="7" width="8.625" style="0" customWidth="1"/>
    <col min="8" max="8" width="10.75390625" style="0" customWidth="1"/>
    <col min="9" max="9" width="7.875" style="0" customWidth="1"/>
    <col min="10" max="10" width="7.75390625" style="0" customWidth="1"/>
  </cols>
  <sheetData>
    <row r="1" spans="2:9" s="94" customFormat="1" ht="15.75">
      <c r="B1" s="139"/>
      <c r="C1" s="285"/>
      <c r="D1" s="286" t="s">
        <v>42</v>
      </c>
      <c r="E1" s="286"/>
      <c r="F1" s="287"/>
      <c r="G1" s="140"/>
      <c r="H1" s="95"/>
      <c r="I1" s="95"/>
    </row>
    <row r="2" spans="2:9" s="94" customFormat="1" ht="13.5" thickBot="1">
      <c r="B2" s="95"/>
      <c r="C2" s="95"/>
      <c r="D2" s="95"/>
      <c r="E2" s="95"/>
      <c r="F2" s="95"/>
      <c r="G2" s="95"/>
      <c r="H2" s="95"/>
      <c r="I2" s="95"/>
    </row>
    <row r="3" spans="2:9" s="94" customFormat="1" ht="13.5" thickBot="1">
      <c r="B3" s="143" t="s">
        <v>43</v>
      </c>
      <c r="C3" s="144"/>
      <c r="D3" s="95"/>
      <c r="E3" s="143" t="s">
        <v>44</v>
      </c>
      <c r="F3" s="145"/>
      <c r="G3" s="145"/>
      <c r="H3" s="146"/>
      <c r="I3" s="95"/>
    </row>
    <row r="4" spans="2:9" s="94" customFormat="1" ht="13.5" thickBot="1">
      <c r="B4" s="54" t="s">
        <v>45</v>
      </c>
      <c r="C4" s="150">
        <v>36</v>
      </c>
      <c r="D4" s="95"/>
      <c r="E4" s="142" t="s">
        <v>46</v>
      </c>
      <c r="F4" s="147" t="s">
        <v>47</v>
      </c>
      <c r="G4" s="148" t="s">
        <v>48</v>
      </c>
      <c r="H4" s="149" t="s">
        <v>49</v>
      </c>
      <c r="I4" s="95"/>
    </row>
    <row r="5" spans="2:9" s="94" customFormat="1" ht="15.75">
      <c r="B5" s="55" t="s">
        <v>50</v>
      </c>
      <c r="C5" s="151">
        <v>0.6</v>
      </c>
      <c r="D5" s="95"/>
      <c r="E5" s="62" t="s">
        <v>51</v>
      </c>
      <c r="F5" s="56">
        <f>(C6/COS(C4*PI()/180))*C5</f>
        <v>3.71</v>
      </c>
      <c r="G5" s="291">
        <v>1.1</v>
      </c>
      <c r="H5" s="16">
        <f>F5*G5</f>
        <v>4.08</v>
      </c>
      <c r="I5" s="95"/>
    </row>
    <row r="6" spans="2:9" s="94" customFormat="1" ht="12.75">
      <c r="B6" s="55" t="s">
        <v>55</v>
      </c>
      <c r="C6" s="151">
        <v>5</v>
      </c>
      <c r="D6" s="95"/>
      <c r="E6" s="62" t="s">
        <v>52</v>
      </c>
      <c r="F6" s="16">
        <f>(C14*500)/(C11*COS(C4*PI()/180))*C5</f>
        <v>2.65</v>
      </c>
      <c r="G6" s="292">
        <v>1.1</v>
      </c>
      <c r="H6" s="16">
        <f>F6*G6</f>
        <v>2.92</v>
      </c>
      <c r="I6" s="95"/>
    </row>
    <row r="7" spans="2:9" s="94" customFormat="1" ht="12.75">
      <c r="B7" s="55" t="s">
        <v>57</v>
      </c>
      <c r="C7" s="151">
        <v>141</v>
      </c>
      <c r="D7" s="95"/>
      <c r="E7" s="62" t="s">
        <v>54</v>
      </c>
      <c r="F7" s="16">
        <v>9</v>
      </c>
      <c r="G7" s="292">
        <v>1.1</v>
      </c>
      <c r="H7" s="16">
        <f>F7*G7</f>
        <v>9.9</v>
      </c>
      <c r="I7" s="95"/>
    </row>
    <row r="8" spans="2:9" s="94" customFormat="1" ht="13.5" thickBot="1">
      <c r="B8" s="294" t="s">
        <v>59</v>
      </c>
      <c r="C8" s="295">
        <v>20</v>
      </c>
      <c r="D8" s="95"/>
      <c r="E8" s="62" t="s">
        <v>56</v>
      </c>
      <c r="F8" s="16">
        <f>C8*C5</f>
        <v>12</v>
      </c>
      <c r="G8" s="293">
        <v>1.1</v>
      </c>
      <c r="H8" s="16">
        <f>F8*G8</f>
        <v>13.2</v>
      </c>
      <c r="I8" s="95"/>
    </row>
    <row r="9" spans="4:9" s="94" customFormat="1" ht="13.5" thickBot="1">
      <c r="D9" s="95"/>
      <c r="E9" s="62" t="s">
        <v>58</v>
      </c>
      <c r="F9" s="16">
        <f>IF(C4&lt;=25,C7*C5,C7*((60-C4)*0.0286)*C5)</f>
        <v>58.07</v>
      </c>
      <c r="G9" s="57">
        <f>IF((SUM(F5:F8)/C5)/C7&lt;0.8,1.6,1.4)</f>
        <v>1.6</v>
      </c>
      <c r="H9" s="16">
        <f>F9*G9</f>
        <v>92.91</v>
      </c>
      <c r="I9" s="95"/>
    </row>
    <row r="10" spans="2:9" s="94" customFormat="1" ht="13.5" thickBot="1">
      <c r="B10" s="158" t="s">
        <v>52</v>
      </c>
      <c r="C10" s="159" t="s">
        <v>61</v>
      </c>
      <c r="D10" s="95"/>
      <c r="E10" s="68" t="s">
        <v>60</v>
      </c>
      <c r="F10" s="19">
        <f>SUM(F5:F9)</f>
        <v>85.43</v>
      </c>
      <c r="G10" s="69"/>
      <c r="H10" s="19">
        <f>SUM(H5:H9)</f>
        <v>123.01</v>
      </c>
      <c r="I10" s="95"/>
    </row>
    <row r="11" spans="2:9" s="94" customFormat="1" ht="13.5" thickBot="1">
      <c r="B11" s="55" t="s">
        <v>211</v>
      </c>
      <c r="C11" s="151">
        <v>0.35</v>
      </c>
      <c r="D11" s="95"/>
      <c r="E11" s="158" t="s">
        <v>69</v>
      </c>
      <c r="F11" s="204">
        <f>F10/C5</f>
        <v>142.38</v>
      </c>
      <c r="G11" s="160"/>
      <c r="H11" s="204">
        <f>H10/C5</f>
        <v>205.02</v>
      </c>
      <c r="I11" s="95"/>
    </row>
    <row r="12" spans="2:7" s="94" customFormat="1" ht="13.5" thickBot="1">
      <c r="B12" s="66" t="s">
        <v>209</v>
      </c>
      <c r="C12" s="152">
        <v>10</v>
      </c>
      <c r="D12" s="95"/>
      <c r="G12" s="95"/>
    </row>
    <row r="13" spans="2:9" s="94" customFormat="1" ht="15" thickBot="1">
      <c r="B13" s="67" t="s">
        <v>210</v>
      </c>
      <c r="C13" s="153">
        <v>2.5</v>
      </c>
      <c r="D13" s="95"/>
      <c r="E13" s="156" t="s">
        <v>46</v>
      </c>
      <c r="F13" s="157" t="s">
        <v>62</v>
      </c>
      <c r="G13" s="95"/>
      <c r="H13" s="301" t="s">
        <v>86</v>
      </c>
      <c r="I13" s="155">
        <v>7.872</v>
      </c>
    </row>
    <row r="14" spans="2:9" s="94" customFormat="1" ht="13.5" thickBot="1">
      <c r="B14" s="284" t="s">
        <v>53</v>
      </c>
      <c r="C14" s="288">
        <f>C12*C13*10^-4</f>
        <v>0.0025</v>
      </c>
      <c r="D14" s="95"/>
      <c r="E14" s="58" t="s">
        <v>63</v>
      </c>
      <c r="F14" s="59" t="s">
        <v>64</v>
      </c>
      <c r="G14" s="95"/>
      <c r="H14" s="302" t="s">
        <v>212</v>
      </c>
      <c r="I14" s="95"/>
    </row>
    <row r="15" spans="2:9" s="94" customFormat="1" ht="13.5" thickBot="1">
      <c r="B15" s="289" t="s">
        <v>226</v>
      </c>
      <c r="C15" s="290">
        <f>C33</f>
        <v>137.67</v>
      </c>
      <c r="D15" s="95"/>
      <c r="E15" s="60" t="s">
        <v>65</v>
      </c>
      <c r="F15" s="61" t="s">
        <v>66</v>
      </c>
      <c r="G15" s="95"/>
      <c r="H15" s="95"/>
      <c r="I15" s="95"/>
    </row>
    <row r="16" spans="4:9" s="94" customFormat="1" ht="13.5" thickBot="1">
      <c r="D16" s="95"/>
      <c r="E16" s="60" t="s">
        <v>67</v>
      </c>
      <c r="F16" s="61" t="s">
        <v>66</v>
      </c>
      <c r="G16" s="95"/>
      <c r="I16" s="141">
        <f>I13-I19</f>
        <v>4.48</v>
      </c>
    </row>
    <row r="17" spans="2:9" s="94" customFormat="1" ht="15" thickBot="1">
      <c r="B17" s="156" t="s">
        <v>68</v>
      </c>
      <c r="C17" s="157" t="s">
        <v>69</v>
      </c>
      <c r="D17" s="95"/>
      <c r="E17" s="60" t="s">
        <v>70</v>
      </c>
      <c r="F17" s="61" t="s">
        <v>71</v>
      </c>
      <c r="G17" s="95"/>
      <c r="H17" s="303">
        <f>(ATAN(I16/H19))*180/3.142</f>
        <v>47.32</v>
      </c>
      <c r="I17" s="95"/>
    </row>
    <row r="18" spans="2:9" s="94" customFormat="1" ht="12.75">
      <c r="B18" s="62" t="s">
        <v>72</v>
      </c>
      <c r="C18" s="61">
        <v>20</v>
      </c>
      <c r="D18" s="95"/>
      <c r="E18" s="60" t="s">
        <v>73</v>
      </c>
      <c r="F18" s="61" t="s">
        <v>64</v>
      </c>
      <c r="G18" s="95"/>
      <c r="H18" s="95"/>
      <c r="I18" s="95"/>
    </row>
    <row r="19" spans="2:9" s="94" customFormat="1" ht="12.75">
      <c r="B19" s="62" t="s">
        <v>74</v>
      </c>
      <c r="C19" s="61">
        <v>8</v>
      </c>
      <c r="D19" s="95"/>
      <c r="E19" s="60" t="s">
        <v>75</v>
      </c>
      <c r="F19" s="61" t="s">
        <v>76</v>
      </c>
      <c r="G19" s="95"/>
      <c r="H19" s="154">
        <v>4.13</v>
      </c>
      <c r="I19" s="155">
        <v>3.392</v>
      </c>
    </row>
    <row r="20" spans="2:9" s="94" customFormat="1" ht="13.5" thickBot="1">
      <c r="B20" s="63" t="s">
        <v>77</v>
      </c>
      <c r="C20" s="64">
        <v>50</v>
      </c>
      <c r="D20" s="95"/>
      <c r="E20" s="65" t="s">
        <v>78</v>
      </c>
      <c r="F20" s="64" t="s">
        <v>79</v>
      </c>
      <c r="G20" s="95"/>
      <c r="H20" s="95"/>
      <c r="I20" s="95"/>
    </row>
    <row r="21" spans="2:9" s="94" customFormat="1" ht="13.5" thickBot="1">
      <c r="B21" s="95"/>
      <c r="C21" s="95"/>
      <c r="D21" s="95"/>
      <c r="E21" s="95"/>
      <c r="F21" s="95"/>
      <c r="G21" s="95"/>
      <c r="H21" s="95"/>
      <c r="I21" s="95"/>
    </row>
    <row r="22" spans="2:8" s="94" customFormat="1" ht="16.5" thickBot="1">
      <c r="B22" s="375" t="str">
        <f>IF(C15&lt;=156,"Несущая спосбность обрешетки   обеспечена !","Напряж.в сеч.обреш. &gt; 156кг/см2. Увеличить сечение!")</f>
        <v>Несущая спосбность обрешетки   обеспечена !</v>
      </c>
      <c r="C22" s="376"/>
      <c r="D22" s="376"/>
      <c r="E22" s="376"/>
      <c r="F22" s="377"/>
      <c r="G22" s="371" t="str">
        <f>IF(B22=0,0,"Кз=")</f>
        <v>Кз=</v>
      </c>
      <c r="H22" s="372">
        <f>IF(B22=0,0,156/C15)</f>
        <v>1.13</v>
      </c>
    </row>
    <row r="23" s="94" customFormat="1" ht="12.75"/>
    <row r="24" s="94" customFormat="1" ht="12.75"/>
    <row r="25" s="94" customFormat="1" ht="13.5" thickBot="1"/>
    <row r="26" spans="2:3" s="94" customFormat="1" ht="13.5" thickBot="1">
      <c r="B26" s="373" t="s">
        <v>208</v>
      </c>
      <c r="C26" s="374"/>
    </row>
    <row r="27" spans="2:3" s="94" customFormat="1" ht="12.75">
      <c r="B27" s="298" t="s">
        <v>202</v>
      </c>
      <c r="C27" s="296">
        <f>(H5+H6)/C5*C11</f>
        <v>4.08</v>
      </c>
    </row>
    <row r="28" spans="2:5" s="5" customFormat="1" ht="12.75">
      <c r="B28" s="299" t="s">
        <v>238</v>
      </c>
      <c r="C28" s="297">
        <f>0.07*C27*C5^2+0.207*120*C5</f>
        <v>15.01</v>
      </c>
      <c r="D28" s="94"/>
      <c r="E28" s="94"/>
    </row>
    <row r="29" spans="2:5" s="5" customFormat="1" ht="12.75">
      <c r="B29" s="299" t="s">
        <v>203</v>
      </c>
      <c r="C29" s="297">
        <f>C28*COS(RADIANS(C4))</f>
        <v>12.14</v>
      </c>
      <c r="D29" s="94"/>
      <c r="E29" s="94"/>
    </row>
    <row r="30" spans="2:5" s="5" customFormat="1" ht="12.75">
      <c r="B30" s="299" t="s">
        <v>204</v>
      </c>
      <c r="C30" s="297">
        <f>C28*SIN(RADIANS(C4))</f>
        <v>8.82</v>
      </c>
      <c r="D30" s="94"/>
      <c r="E30" s="94"/>
    </row>
    <row r="31" spans="2:3" s="5" customFormat="1" ht="12.75">
      <c r="B31" s="299" t="s">
        <v>205</v>
      </c>
      <c r="C31" s="297">
        <f>C12*C13^2/6</f>
        <v>10.42</v>
      </c>
    </row>
    <row r="32" spans="2:3" s="5" customFormat="1" ht="12.75">
      <c r="B32" s="299" t="s">
        <v>206</v>
      </c>
      <c r="C32" s="297">
        <f>C13*C12^2/6</f>
        <v>41.67</v>
      </c>
    </row>
    <row r="33" spans="2:5" ht="13.5" thickBot="1">
      <c r="B33" s="300" t="s">
        <v>207</v>
      </c>
      <c r="C33" s="359">
        <f>IF((C11-C12*0.01)&gt;0.15,(C29*100)/C31+(C30*100)/C32,((C29*100)/C31+(C30*100)/C32)*0.5)</f>
        <v>137.67</v>
      </c>
      <c r="D33" s="5" t="s">
        <v>117</v>
      </c>
      <c r="E33" s="283">
        <f>130*1.2</f>
        <v>156</v>
      </c>
    </row>
  </sheetData>
  <sheetProtection sheet="1" objects="1" scenarios="1"/>
  <mergeCells count="2">
    <mergeCell ref="B26:C26"/>
    <mergeCell ref="B22:F22"/>
  </mergeCells>
  <dataValidations count="1">
    <dataValidation type="decimal" allowBlank="1" showInputMessage="1" showErrorMessage="1" sqref="C15">
      <formula1>0</formula1>
      <formula2>156</formula2>
    </dataValidation>
  </dataValidations>
  <printOptions/>
  <pageMargins left="0.75" right="0.75" top="1" bottom="1" header="0.5" footer="0.5"/>
  <pageSetup horizontalDpi="120" verticalDpi="120" orientation="landscape" paperSize="9" r:id="rId4"/>
  <headerFooter alignWithMargins="0">
    <oddHeader>&amp;C&amp;A</oddHeader>
    <oddFooter>&amp;CСтраница &amp;P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J22"/>
  <sheetViews>
    <sheetView tabSelected="1" zoomScalePageLayoutView="0" workbookViewId="0" topLeftCell="A1">
      <selection activeCell="A1" sqref="A1"/>
      <selection activeCell="C15" sqref="C15"/>
      <selection activeCell="A1" sqref="A1"/>
    </sheetView>
  </sheetViews>
  <sheetFormatPr defaultColWidth="9.00390625" defaultRowHeight="12.75"/>
  <cols>
    <col min="1" max="1" width="8.00390625" style="0" customWidth="1"/>
    <col min="2" max="2" width="27.625" style="0" customWidth="1"/>
    <col min="3" max="3" width="9.875" style="0" customWidth="1"/>
    <col min="4" max="4" width="6.25390625" style="0" customWidth="1"/>
    <col min="5" max="5" width="8.625" style="0" customWidth="1"/>
    <col min="8" max="8" width="8.25390625" style="0" customWidth="1"/>
    <col min="10" max="10" width="6.75390625" style="0" customWidth="1"/>
  </cols>
  <sheetData>
    <row r="1" ht="6.75" customHeight="1" thickBot="1"/>
    <row r="2" spans="2:8" ht="15.75" customHeight="1" thickBot="1">
      <c r="B2" s="330" t="s">
        <v>80</v>
      </c>
      <c r="C2" s="331"/>
      <c r="D2" s="1"/>
      <c r="E2" s="12"/>
      <c r="F2" s="259" t="s">
        <v>189</v>
      </c>
      <c r="G2" s="260">
        <f>Нагрузки!F10</f>
        <v>85.43</v>
      </c>
      <c r="H2" t="s">
        <v>167</v>
      </c>
    </row>
    <row r="3" spans="2:3" ht="13.5" thickBot="1">
      <c r="B3" s="13" t="s">
        <v>181</v>
      </c>
      <c r="C3" s="11">
        <f>Нагрузки!C4</f>
        <v>36</v>
      </c>
    </row>
    <row r="4" spans="2:9" ht="15" thickBot="1">
      <c r="B4" s="327" t="s">
        <v>183</v>
      </c>
      <c r="C4" s="166">
        <f>F8*100/D4</f>
        <v>2.72</v>
      </c>
      <c r="D4" s="340">
        <v>200</v>
      </c>
      <c r="F4" s="264" t="s">
        <v>190</v>
      </c>
      <c r="G4" s="260">
        <f>Нагрузки!H10</f>
        <v>123.01</v>
      </c>
      <c r="I4" s="3"/>
    </row>
    <row r="5" spans="2:3" ht="15" thickBot="1">
      <c r="B5" s="360" t="s">
        <v>146</v>
      </c>
      <c r="C5" s="341">
        <v>130</v>
      </c>
    </row>
    <row r="6" spans="2:10" ht="12.75">
      <c r="B6" s="281" t="s">
        <v>199</v>
      </c>
      <c r="C6" s="282">
        <f>(G4*G18^2)/8</f>
        <v>297.68</v>
      </c>
      <c r="I6" s="306">
        <f>0.5*G4*G18</f>
        <v>270.62</v>
      </c>
      <c r="J6" t="s">
        <v>142</v>
      </c>
    </row>
    <row r="7" spans="2:3" ht="12.75">
      <c r="B7" s="281" t="s">
        <v>200</v>
      </c>
      <c r="C7" s="282">
        <f>C6*100/C5</f>
        <v>228.98</v>
      </c>
    </row>
    <row r="8" spans="2:7" ht="12.75">
      <c r="B8" s="281" t="s">
        <v>201</v>
      </c>
      <c r="C8" s="282">
        <f>(5*(G2/100)*((G18*100)^3*F8*100))/(384*10^5*C4*(COS(C3*PI()/180)))</f>
        <v>2342.5</v>
      </c>
      <c r="F8" s="305">
        <f>G18/COS(RADIANS(C3))</f>
        <v>5.44</v>
      </c>
      <c r="G8" t="s">
        <v>159</v>
      </c>
    </row>
    <row r="9" spans="2:6" ht="13.5" thickBot="1">
      <c r="B9" s="338" t="s">
        <v>184</v>
      </c>
      <c r="C9" s="339">
        <f>((C6*100*Нагрузки!C11*100)/(26.8*C5*MAX(C11,C12)))^0.333334</f>
        <v>2.56</v>
      </c>
      <c r="F9" s="2"/>
    </row>
    <row r="10" spans="2:10" ht="16.5" thickBot="1">
      <c r="B10" s="73" t="s">
        <v>82</v>
      </c>
      <c r="C10" s="165">
        <v>5</v>
      </c>
      <c r="E10" s="10"/>
      <c r="J10" s="267">
        <f>G18*TAN(C3*PI()/180)</f>
        <v>3.2</v>
      </c>
    </row>
    <row r="11" spans="2:3" ht="15" thickBot="1">
      <c r="B11" s="325" t="s">
        <v>182</v>
      </c>
      <c r="C11" s="326">
        <f>SQRT(6*C7/C10)</f>
        <v>16.58</v>
      </c>
    </row>
    <row r="12" spans="2:9" ht="15.75" thickBot="1">
      <c r="B12" s="328" t="s">
        <v>185</v>
      </c>
      <c r="C12" s="329">
        <f>((12*C8)/C10)^0.333334</f>
        <v>17.78</v>
      </c>
      <c r="F12" s="75"/>
      <c r="H12" s="25">
        <f>C6</f>
        <v>297.68</v>
      </c>
      <c r="I12" t="s">
        <v>168</v>
      </c>
    </row>
    <row r="13" spans="2:7" ht="16.5" thickBot="1">
      <c r="B13" s="265" t="s">
        <v>119</v>
      </c>
      <c r="C13" s="266">
        <f>IF(MAX(C11,C12)&lt;=7.5,7.5,IF(AND(MAX(C11,C12)&gt;7.5,MAX(C11,C12)&lt;=10),10,IF(AND(MAX(C11,C12)&gt;10,MAX(C11,C12)&lt;=12.5),12.5,IF(AND(MAX(C11,C12)&gt;12.5,MAX(C11,C12)&lt;=15),15,IF(AND(MAX(C11,C12)&gt;15,MAX(C11,C12)&lt;=17.5),17.5,IF(AND(MAX(C11,C12)&gt;17.5,MAX(C11,C12)&lt;=20),20,IF(MAX(C11,C12)&lt;=22.5,22.5,25)))))))</f>
        <v>20</v>
      </c>
      <c r="E13" s="23" t="s">
        <v>89</v>
      </c>
      <c r="F13" s="255">
        <f>0.5*G4*COS(RADIANS(C3))*SIN(RADIANS(C3))*F8</f>
        <v>159.11</v>
      </c>
      <c r="G13" s="167"/>
    </row>
    <row r="14" spans="2:3" ht="16.5" thickBot="1">
      <c r="B14" s="72" t="s">
        <v>127</v>
      </c>
      <c r="C14" s="71">
        <v>20</v>
      </c>
    </row>
    <row r="15" spans="2:3" ht="12.75">
      <c r="B15" s="21" t="s">
        <v>186</v>
      </c>
      <c r="C15" s="277">
        <f>F8*100/(0.289*C14)</f>
        <v>94.12</v>
      </c>
    </row>
    <row r="16" spans="2:5" ht="15">
      <c r="B16" s="15" t="s">
        <v>187</v>
      </c>
      <c r="C16" s="278">
        <f>IF(C15&lt;=70,1-0.8*(C15/100)^2,3000/C15^2)</f>
        <v>0.339</v>
      </c>
      <c r="E16" s="4"/>
    </row>
    <row r="17" spans="2:6" ht="12.75">
      <c r="B17" s="15" t="s">
        <v>188</v>
      </c>
      <c r="C17" s="279">
        <f>1-F13/(C16*C5*C10*C14)</f>
        <v>0.964</v>
      </c>
      <c r="E17" s="306">
        <f>0.5*G4*G18</f>
        <v>270.62</v>
      </c>
      <c r="F17" s="246" t="s">
        <v>142</v>
      </c>
    </row>
    <row r="18" spans="2:8" ht="13.5" thickBot="1">
      <c r="B18" s="53" t="s">
        <v>166</v>
      </c>
      <c r="C18" s="280">
        <f>C6/C17</f>
        <v>308.8</v>
      </c>
      <c r="G18" s="22">
        <v>4.4</v>
      </c>
      <c r="H18" t="s">
        <v>159</v>
      </c>
    </row>
    <row r="19" ht="7.5" customHeight="1" thickBot="1"/>
    <row r="20" spans="2:10" ht="16.5" thickBot="1">
      <c r="B20" s="271" t="s">
        <v>214</v>
      </c>
      <c r="C20" s="272">
        <f>F13/(C10*C14)+(C18*100)/((C10*C14^2)/6)</f>
        <v>94.23</v>
      </c>
      <c r="D20" s="263" t="s">
        <v>117</v>
      </c>
      <c r="E20" s="247">
        <f>C5</f>
        <v>130</v>
      </c>
      <c r="F20" s="161" t="s">
        <v>165</v>
      </c>
      <c r="G20" s="162">
        <f>E20/C20</f>
        <v>1.38</v>
      </c>
      <c r="H20" s="378" t="str">
        <f>IF(G20&gt;=1,"Условие выполнено!","Условие не выполнено!")</f>
        <v>Условие выполнено!</v>
      </c>
      <c r="I20" s="379"/>
      <c r="J20" s="379"/>
    </row>
    <row r="21" spans="2:10" ht="16.5" thickBot="1">
      <c r="B21" s="270" t="s">
        <v>215</v>
      </c>
      <c r="C21" s="269">
        <f>(5*G2/100*(G18*100)^3*F8*100)/(384*10^5*(C10*C14^3)/12*COS(RADIANS(C3)))</f>
        <v>1.91</v>
      </c>
      <c r="D21" s="263" t="s">
        <v>117</v>
      </c>
      <c r="E21" s="247">
        <f>C4</f>
        <v>2.72</v>
      </c>
      <c r="F21" s="161" t="s">
        <v>165</v>
      </c>
      <c r="G21" s="162">
        <f>E21/C21</f>
        <v>1.42</v>
      </c>
      <c r="H21" s="380" t="str">
        <f>IF(G21&gt;=1,"Условие выполнено!","Условие не выполнено!")</f>
        <v>Условие выполнено!</v>
      </c>
      <c r="I21" s="381"/>
      <c r="J21" s="381"/>
    </row>
    <row r="22" spans="2:10" ht="16.5" thickBot="1">
      <c r="B22" s="271" t="s">
        <v>213</v>
      </c>
      <c r="C22" s="272">
        <f>(3*E17*COS(RADIANS(C3)))/(2*C10*C14)</f>
        <v>3.28</v>
      </c>
      <c r="D22" s="263" t="s">
        <v>117</v>
      </c>
      <c r="E22" s="247">
        <v>16</v>
      </c>
      <c r="F22" s="161" t="s">
        <v>165</v>
      </c>
      <c r="G22" s="162">
        <f>E22/C22</f>
        <v>4.88</v>
      </c>
      <c r="H22" s="380" t="str">
        <f>IF(G22&gt;=1,"Условие выполнено!","Условие не выполнено!")</f>
        <v>Условие выполнено!</v>
      </c>
      <c r="I22" s="381"/>
      <c r="J22" s="381"/>
    </row>
  </sheetData>
  <sheetProtection sheet="1" objects="1" scenarios="1"/>
  <mergeCells count="3">
    <mergeCell ref="H20:J20"/>
    <mergeCell ref="H21:J21"/>
    <mergeCell ref="H22:J22"/>
  </mergeCells>
  <dataValidations count="1">
    <dataValidation allowBlank="1" showInputMessage="1" showErrorMessage="1" prompt="При  11&lt;В&lt;=13см и  11&lt;H&lt;=50см  --- Rи=140 кг/см2&#10;&#10;При         B&gt; 13см  и  13&lt;H&lt;=50см  --- Rи=150 кг/см2&#10;&#10;В остальных случаях                                   --- Rи=130кг/см2" sqref="C10"/>
  </dataValidations>
  <printOptions/>
  <pageMargins left="0.75" right="0.75" top="1" bottom="1" header="0.5" footer="0.5"/>
  <pageSetup horizontalDpi="120" verticalDpi="120" orientation="landscape" paperSize="9" r:id="rId4"/>
  <headerFooter alignWithMargins="0">
    <oddHeader>&amp;C&amp;A</oddHeader>
    <oddFooter>&amp;CСтраница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2"/>
  <sheetViews>
    <sheetView zoomScalePageLayoutView="0" workbookViewId="0" topLeftCell="A1">
      <selection activeCell="A1" sqref="A1"/>
      <selection activeCell="G9" sqref="G9"/>
      <selection activeCell="A1" sqref="A1"/>
    </sheetView>
  </sheetViews>
  <sheetFormatPr defaultColWidth="9.00390625" defaultRowHeight="12.75"/>
  <cols>
    <col min="1" max="1" width="7.875" style="0" customWidth="1"/>
    <col min="2" max="2" width="27.375" style="0" customWidth="1"/>
    <col min="3" max="3" width="9.875" style="0" customWidth="1"/>
    <col min="4" max="4" width="6.125" style="0" customWidth="1"/>
    <col min="5" max="5" width="9.875" style="0" bestFit="1" customWidth="1"/>
    <col min="9" max="9" width="7.25390625" style="0" customWidth="1"/>
    <col min="10" max="10" width="5.125" style="0" customWidth="1"/>
  </cols>
  <sheetData>
    <row r="1" s="6" customFormat="1" ht="3" customHeight="1" thickBot="1"/>
    <row r="2" spans="2:8" s="6" customFormat="1" ht="13.5" customHeight="1" thickBot="1">
      <c r="B2" s="330" t="s">
        <v>80</v>
      </c>
      <c r="C2" s="331"/>
      <c r="F2" s="259" t="s">
        <v>83</v>
      </c>
      <c r="G2" s="260">
        <f>Нагрузки!F10</f>
        <v>85.43</v>
      </c>
      <c r="H2" s="6" t="s">
        <v>167</v>
      </c>
    </row>
    <row r="3" spans="2:13" s="6" customFormat="1" ht="13.5" customHeight="1" thickBot="1">
      <c r="B3" s="13" t="s">
        <v>110</v>
      </c>
      <c r="C3" s="313">
        <f>Нагрузки!C4</f>
        <v>36</v>
      </c>
      <c r="D3" s="14"/>
      <c r="M3" s="6" t="s">
        <v>228</v>
      </c>
    </row>
    <row r="4" spans="2:13" s="6" customFormat="1" ht="14.25" customHeight="1" thickBot="1">
      <c r="B4" s="332" t="s">
        <v>111</v>
      </c>
      <c r="C4" s="333">
        <f>F11*100/D4</f>
        <v>1.55</v>
      </c>
      <c r="D4" s="342">
        <v>200</v>
      </c>
      <c r="E4" s="7"/>
      <c r="F4" s="259" t="s">
        <v>81</v>
      </c>
      <c r="G4" s="260">
        <f>Нагрузки!H10</f>
        <v>123.01</v>
      </c>
      <c r="M4" s="6" t="s">
        <v>227</v>
      </c>
    </row>
    <row r="5" spans="2:13" s="6" customFormat="1" ht="15" thickBot="1">
      <c r="B5" s="355" t="s">
        <v>225</v>
      </c>
      <c r="C5" s="341">
        <v>130</v>
      </c>
      <c r="D5" s="14"/>
      <c r="M5" s="6" t="s">
        <v>229</v>
      </c>
    </row>
    <row r="6" spans="2:13" s="6" customFormat="1" ht="12.75">
      <c r="B6" s="281" t="s">
        <v>194</v>
      </c>
      <c r="C6" s="274">
        <f>(G2*(G16^3+H16^3))/(8*(G16+H16))</f>
        <v>54.57</v>
      </c>
      <c r="D6" s="14"/>
      <c r="I6" s="8"/>
      <c r="M6" s="6" t="s">
        <v>230</v>
      </c>
    </row>
    <row r="7" spans="2:13" s="6" customFormat="1" ht="12.75">
      <c r="B7" s="273" t="s">
        <v>196</v>
      </c>
      <c r="C7" s="274">
        <f>G4*(G16^3+H16^3)/(8*(G16+H16))</f>
        <v>78.57</v>
      </c>
      <c r="D7" s="14"/>
      <c r="E7" s="9"/>
      <c r="F7" s="257">
        <f>G18/COS(C3*PI()/180)</f>
        <v>5.44</v>
      </c>
      <c r="H7" s="255">
        <f>0.5*G4*COS(RADIANS(C3))*SIN(RADIANS(C3))*(F7-F11)</f>
        <v>68.73</v>
      </c>
      <c r="M7" s="6" t="s">
        <v>231</v>
      </c>
    </row>
    <row r="8" spans="2:10" s="6" customFormat="1" ht="12.75">
      <c r="B8" s="273" t="s">
        <v>197</v>
      </c>
      <c r="C8" s="274">
        <f>C7*100/C5</f>
        <v>60.44</v>
      </c>
      <c r="D8" s="14"/>
      <c r="I8" s="25">
        <f>0.5*G4*H16-C7/H16</f>
        <v>75.51</v>
      </c>
      <c r="J8" s="6" t="s">
        <v>142</v>
      </c>
    </row>
    <row r="9" spans="2:7" s="6" customFormat="1" ht="13.5" thickBot="1">
      <c r="B9" s="275" t="s">
        <v>198</v>
      </c>
      <c r="C9" s="276">
        <f>((F11*100*(5*G2/100*(G16*100)^3))-(F11*100*(24*C6*100*(G16*100))))/(384*10^5*C4*COS(C3*PI()/180))</f>
        <v>218.18</v>
      </c>
      <c r="D9" s="14"/>
      <c r="F9" s="261" t="s">
        <v>84</v>
      </c>
      <c r="G9" s="307">
        <f>C7</f>
        <v>78.57</v>
      </c>
    </row>
    <row r="10" spans="2:9" s="6" customFormat="1" ht="13.5" thickBot="1">
      <c r="B10" s="336" t="s">
        <v>193</v>
      </c>
      <c r="C10" s="337">
        <f>((C7*100*Нагрузки!C11*100)/(26.8*C5*MAX(C12,C13)))^0.333334</f>
        <v>2.1</v>
      </c>
      <c r="D10" s="14"/>
      <c r="H10" s="25">
        <f>0.5*G4*G18+C7/G16+C7/H16</f>
        <v>343.4</v>
      </c>
      <c r="I10" s="6" t="s">
        <v>168</v>
      </c>
    </row>
    <row r="11" spans="2:11" s="6" customFormat="1" ht="16.5" thickBot="1">
      <c r="B11" s="73" t="s">
        <v>192</v>
      </c>
      <c r="C11" s="165">
        <v>5</v>
      </c>
      <c r="D11" s="14"/>
      <c r="E11" s="9"/>
      <c r="F11" s="257">
        <f>G16/COS(C3*PI()/180)</f>
        <v>3.09</v>
      </c>
      <c r="I11" s="261" t="s">
        <v>85</v>
      </c>
      <c r="J11" s="256">
        <f>G18*TAN(C3*PI()/180)</f>
        <v>3.2</v>
      </c>
      <c r="K11" s="308" t="s">
        <v>159</v>
      </c>
    </row>
    <row r="12" spans="2:8" s="6" customFormat="1" ht="15" thickBot="1">
      <c r="B12" s="325" t="s">
        <v>113</v>
      </c>
      <c r="C12" s="326">
        <f>SQRT(6*C8/C11)</f>
        <v>8.52</v>
      </c>
      <c r="D12" s="14"/>
      <c r="G12" s="361" t="s">
        <v>87</v>
      </c>
      <c r="H12" s="258">
        <f>G16*TAN(C3*PI()/180)</f>
        <v>1.82</v>
      </c>
    </row>
    <row r="13" spans="2:8" s="6" customFormat="1" ht="15" thickBot="1">
      <c r="B13" s="325" t="s">
        <v>191</v>
      </c>
      <c r="C13" s="326">
        <f>(12*C9/C11)^0.333334</f>
        <v>8.06</v>
      </c>
      <c r="D13" s="14"/>
      <c r="G13" s="25">
        <f>0.07*G4*G16^2</f>
        <v>53.82</v>
      </c>
      <c r="H13" s="6" t="s">
        <v>168</v>
      </c>
    </row>
    <row r="14" spans="2:4" s="6" customFormat="1" ht="16.5" thickBot="1">
      <c r="B14" s="265" t="s">
        <v>119</v>
      </c>
      <c r="C14" s="266">
        <f>IF(MAX(C12,C13)&lt;=7.5,7.5,IF(AND(MAX(C12,C13)&gt;7.5,MAX(C12,C13)&lt;=10),10,IF(AND(MAX(C12,C13)&gt;10,MAX(C12,C13)&lt;=12.5),12.5,IF(AND(MAX(C12,C13)&gt;12.5,MAX(C12,C13)&lt;=15),15,IF(AND(MAX(C12,C13)&gt;15,MAX(C12,C13)&lt;=17.5),17.5,IF(AND(MAX(C12,C13)&gt;17.5,MAX(C12,C13)&lt;=20),20,IF(MAX(C12,C13)&lt;=22.5,22.5,25)))))))</f>
        <v>10</v>
      </c>
      <c r="D14" s="14"/>
    </row>
    <row r="15" spans="2:10" s="6" customFormat="1" ht="16.5" thickBot="1">
      <c r="B15" s="324" t="s">
        <v>127</v>
      </c>
      <c r="C15" s="71">
        <v>15</v>
      </c>
      <c r="D15" s="14"/>
      <c r="E15" s="25">
        <f>0.5*G4*G16-C7/G16</f>
        <v>122.33</v>
      </c>
      <c r="J15" s="24"/>
    </row>
    <row r="16" spans="2:8" s="6" customFormat="1" ht="15">
      <c r="B16" s="21" t="s">
        <v>186</v>
      </c>
      <c r="C16" s="277">
        <f>F11*100/(0.289*C15)</f>
        <v>71.28</v>
      </c>
      <c r="D16" s="14"/>
      <c r="F16" s="261" t="s">
        <v>40</v>
      </c>
      <c r="G16" s="357">
        <v>2.5</v>
      </c>
      <c r="H16" s="268">
        <f>G18-G16</f>
        <v>1.9</v>
      </c>
    </row>
    <row r="17" spans="2:4" s="6" customFormat="1" ht="12.75">
      <c r="B17" s="15" t="s">
        <v>187</v>
      </c>
      <c r="C17" s="278">
        <f>IF(C16&lt;=70,1-0.8*(C16/100)^2,3000/C16^2)</f>
        <v>0.59</v>
      </c>
      <c r="D17" s="14"/>
    </row>
    <row r="18" spans="2:8" s="6" customFormat="1" ht="15">
      <c r="B18" s="15" t="s">
        <v>188</v>
      </c>
      <c r="C18" s="279">
        <f>1-H7/(C17*C5*C11*C15)</f>
        <v>0.988</v>
      </c>
      <c r="D18" s="14"/>
      <c r="F18" s="261" t="s">
        <v>41</v>
      </c>
      <c r="G18" s="358">
        <v>4.4</v>
      </c>
      <c r="H18" s="6" t="s">
        <v>159</v>
      </c>
    </row>
    <row r="19" spans="2:4" s="6" customFormat="1" ht="13.5" thickBot="1">
      <c r="B19" s="53" t="s">
        <v>166</v>
      </c>
      <c r="C19" s="280">
        <f>C7/C18</f>
        <v>79.52</v>
      </c>
      <c r="D19" s="14"/>
    </row>
    <row r="20" spans="2:10" s="6" customFormat="1" ht="16.5" thickBot="1">
      <c r="B20" s="271" t="s">
        <v>216</v>
      </c>
      <c r="C20" s="272">
        <f>H7/(C11*C15)+(C19*100)/((C11*C15^2)/6)</f>
        <v>43.33</v>
      </c>
      <c r="D20" s="262" t="s">
        <v>117</v>
      </c>
      <c r="E20" s="253">
        <f>C5</f>
        <v>130</v>
      </c>
      <c r="F20" s="161" t="s">
        <v>165</v>
      </c>
      <c r="G20" s="254">
        <f>E20/C20</f>
        <v>3</v>
      </c>
      <c r="H20" s="382" t="str">
        <f>IF(G20&gt;=1,"Условие выполнено!","Условие не выполнено!")</f>
        <v>Условие выполнено!</v>
      </c>
      <c r="I20" s="383"/>
      <c r="J20" s="383"/>
    </row>
    <row r="21" spans="2:10" s="6" customFormat="1" ht="16.5" thickBot="1">
      <c r="B21" s="270" t="s">
        <v>195</v>
      </c>
      <c r="C21" s="269">
        <f>(5*G2/100*F11*100*(G16*100)^3-24*C6*100*G16*100*F11*100)/(384*10^5*(C11*C15^3)/12*COS(RADIANS(C3)))</f>
        <v>0.24</v>
      </c>
      <c r="D21" s="262" t="s">
        <v>117</v>
      </c>
      <c r="E21" s="253">
        <f>C4</f>
        <v>1.55</v>
      </c>
      <c r="F21" s="161" t="s">
        <v>165</v>
      </c>
      <c r="G21" s="254">
        <f>E21/C21</f>
        <v>6.46</v>
      </c>
      <c r="H21" s="382" t="str">
        <f>IF(G21&gt;=1,"Условие выполнено!","Условие не выполнено!")</f>
        <v>Условие выполнено!</v>
      </c>
      <c r="I21" s="383"/>
      <c r="J21" s="383"/>
    </row>
    <row r="22" spans="2:10" s="6" customFormat="1" ht="16.5" thickBot="1">
      <c r="B22" s="271" t="s">
        <v>217</v>
      </c>
      <c r="C22" s="272">
        <f>(3*(0.5*G4*G16+G9/G16)*COS(RADIANS(C3)))/(2*C11*C15)</f>
        <v>3</v>
      </c>
      <c r="D22" s="263" t="s">
        <v>117</v>
      </c>
      <c r="E22" s="247">
        <v>16</v>
      </c>
      <c r="F22" s="161" t="s">
        <v>165</v>
      </c>
      <c r="G22" s="254">
        <f>E22/C22</f>
        <v>5.33</v>
      </c>
      <c r="H22" s="382" t="str">
        <f>IF(G22&gt;=1,"Условие выполнено!","Условие не выполнено!")</f>
        <v>Условие выполнено!</v>
      </c>
      <c r="I22" s="383"/>
      <c r="J22" s="383"/>
    </row>
    <row r="23" s="6" customFormat="1" ht="12.75"/>
    <row r="24" s="6" customFormat="1" ht="12.75"/>
    <row r="25" s="6" customFormat="1" ht="12.75"/>
    <row r="26" s="6" customFormat="1" ht="12.75"/>
    <row r="27" s="6" customFormat="1" ht="12.75" customHeight="1"/>
    <row r="28" s="6" customFormat="1" ht="13.5" customHeight="1"/>
    <row r="29" s="6" customFormat="1" ht="14.25" customHeight="1"/>
    <row r="30" s="6" customFormat="1" ht="39.75" customHeight="1" hidden="1"/>
    <row r="31" s="5" customFormat="1" ht="13.5" customHeight="1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</sheetData>
  <sheetProtection sheet="1" objects="1" scenarios="1"/>
  <mergeCells count="3">
    <mergeCell ref="H20:J20"/>
    <mergeCell ref="H21:J21"/>
    <mergeCell ref="H22:J22"/>
  </mergeCells>
  <dataValidations count="1">
    <dataValidation allowBlank="1" showInputMessage="1" showErrorMessage="1" prompt="При  11&lt;В&lt;=13см и  11&lt;H&lt;=50см  --- Rи=140 кг/см2&#10;&#10;При         B&gt; 13см  и  13&lt;H&lt;=50см  --- Rи=150 кг/см2&#10;&#10;В остальных случаях                                   --- Rи=130кг/см2" sqref="C11"/>
  </dataValidations>
  <printOptions/>
  <pageMargins left="0.75" right="0.75" top="1" bottom="1" header="0.5" footer="0.5"/>
  <pageSetup horizontalDpi="120" verticalDpi="120" orientation="landscape" paperSize="9" r:id="rId4"/>
  <headerFooter alignWithMargins="0">
    <oddHeader>&amp;C&amp;A</oddHeader>
    <oddFooter>&amp;CСтраница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A1" sqref="A1"/>
      <selection activeCell="G8" sqref="G8"/>
      <selection activeCell="A1" sqref="A1"/>
    </sheetView>
  </sheetViews>
  <sheetFormatPr defaultColWidth="9.00390625" defaultRowHeight="12.75"/>
  <cols>
    <col min="1" max="1" width="3.75390625" style="0" customWidth="1"/>
    <col min="2" max="2" width="26.25390625" style="0" customWidth="1"/>
    <col min="3" max="3" width="9.625" style="0" customWidth="1"/>
    <col min="4" max="4" width="4.625" style="0" customWidth="1"/>
    <col min="5" max="5" width="7.125" style="0" customWidth="1"/>
    <col min="9" max="9" width="8.875" style="0" bestFit="1" customWidth="1"/>
    <col min="10" max="10" width="9.25390625" style="0" customWidth="1"/>
    <col min="11" max="11" width="6.875" style="0" customWidth="1"/>
  </cols>
  <sheetData>
    <row r="1" spans="10:11" ht="7.5" customHeight="1" thickBot="1">
      <c r="J1" s="17"/>
      <c r="K1" s="17"/>
    </row>
    <row r="2" spans="2:11" ht="16.5" thickBot="1">
      <c r="B2" s="13" t="s">
        <v>181</v>
      </c>
      <c r="C2" s="343">
        <f>Нагрузки!C4</f>
        <v>36</v>
      </c>
      <c r="D2" s="353"/>
      <c r="E2" s="386" t="s">
        <v>109</v>
      </c>
      <c r="F2" s="386"/>
      <c r="G2" s="386"/>
      <c r="H2" s="386"/>
      <c r="I2" s="304"/>
      <c r="J2" s="304"/>
      <c r="K2" s="304"/>
    </row>
    <row r="3" spans="2:11" ht="15.75" thickBot="1">
      <c r="B3" s="332" t="s">
        <v>111</v>
      </c>
      <c r="C3" s="344">
        <f>C5*100/D3</f>
        <v>2.72</v>
      </c>
      <c r="D3" s="354">
        <v>200</v>
      </c>
      <c r="E3" s="17"/>
      <c r="F3" s="17"/>
      <c r="G3" s="17"/>
      <c r="H3" s="17"/>
      <c r="I3" s="316" t="s">
        <v>83</v>
      </c>
      <c r="J3" s="315">
        <f>Нагрузки!F10</f>
        <v>85.43</v>
      </c>
      <c r="K3" s="17" t="s">
        <v>167</v>
      </c>
    </row>
    <row r="4" spans="2:11" ht="15.75" thickBot="1">
      <c r="B4" s="355" t="s">
        <v>146</v>
      </c>
      <c r="C4" s="341">
        <v>130</v>
      </c>
      <c r="E4" s="17"/>
      <c r="F4" s="17"/>
      <c r="G4" s="17"/>
      <c r="H4" s="17"/>
      <c r="I4" s="17"/>
      <c r="J4" s="17"/>
      <c r="K4" s="311"/>
    </row>
    <row r="5" spans="2:11" ht="12.75">
      <c r="B5" s="273" t="s">
        <v>223</v>
      </c>
      <c r="C5" s="345">
        <f>0.5*I13/COS(C2*PI()/180)</f>
        <v>5.44</v>
      </c>
      <c r="D5" s="17"/>
      <c r="E5" s="17"/>
      <c r="F5" s="17"/>
      <c r="G5" s="17"/>
      <c r="H5" s="17"/>
      <c r="I5" s="316" t="s">
        <v>81</v>
      </c>
      <c r="J5" s="260">
        <f>Нагрузки!H10</f>
        <v>123.01</v>
      </c>
      <c r="K5" s="17" t="s">
        <v>167</v>
      </c>
    </row>
    <row r="6" spans="2:11" ht="13.5" thickBot="1">
      <c r="B6" s="273" t="s">
        <v>221</v>
      </c>
      <c r="C6" s="346">
        <f>IF(G11&lt;=0.0667*I13,(J5*I13^2)/32,0.5*J5*I13*G11-0.5*J5*G11^2)</f>
        <v>1134.05</v>
      </c>
      <c r="D6" s="17"/>
      <c r="E6" s="17"/>
      <c r="F6" s="17"/>
      <c r="G6" s="17"/>
      <c r="H6" s="17"/>
      <c r="I6" s="17"/>
      <c r="J6" s="17"/>
      <c r="K6" s="17"/>
    </row>
    <row r="7" spans="2:12" ht="15.75" thickBot="1">
      <c r="B7" s="273" t="s">
        <v>220</v>
      </c>
      <c r="C7" s="346">
        <f>(5*(J3/100)*(100*C5*(100*0.5*I13)^3))/(384*10^5*C3*(COS(C2*PI()/180)))</f>
        <v>2342.5</v>
      </c>
      <c r="D7" s="17"/>
      <c r="E7" s="17"/>
      <c r="F7" s="312" t="s">
        <v>108</v>
      </c>
      <c r="G7" s="356">
        <v>0.7</v>
      </c>
      <c r="H7" s="17"/>
      <c r="J7" s="321" t="s">
        <v>89</v>
      </c>
      <c r="K7" s="318">
        <f>(K11-0.25*J5*I13)*SIN(RADIANS(C2))+I8*COS(RADIANS(C2))</f>
        <v>1535.24</v>
      </c>
      <c r="L7" s="314" t="s">
        <v>142</v>
      </c>
    </row>
    <row r="8" spans="2:9" ht="13.5" thickBot="1">
      <c r="B8" s="348" t="s">
        <v>222</v>
      </c>
      <c r="C8" s="347">
        <f>C6*100/C4</f>
        <v>872.35</v>
      </c>
      <c r="D8" s="17"/>
      <c r="E8" s="312" t="s">
        <v>87</v>
      </c>
      <c r="F8" s="320">
        <f>0.5*I13*TAN(C2*PI()/180)</f>
        <v>3.2</v>
      </c>
      <c r="G8" s="17"/>
      <c r="H8" s="312" t="s">
        <v>107</v>
      </c>
      <c r="I8" s="317">
        <f>(0.125*J5*I13^2)/G7</f>
        <v>1701.05</v>
      </c>
    </row>
    <row r="9" spans="2:12" ht="13.5" thickBot="1">
      <c r="B9" s="334" t="s">
        <v>112</v>
      </c>
      <c r="C9" s="335">
        <f>((C6*100*Нагрузки!C11*100)/(25.67*C4*C11))^0.333334</f>
        <v>3.73</v>
      </c>
      <c r="D9" s="17"/>
      <c r="E9" s="17"/>
      <c r="F9" s="17"/>
      <c r="G9" s="17"/>
      <c r="H9" s="17"/>
      <c r="I9" s="17"/>
      <c r="J9" s="321" t="s">
        <v>89</v>
      </c>
      <c r="K9" s="319">
        <f>K11*SIN(RADIANS(C2))</f>
        <v>318.132889950778</v>
      </c>
      <c r="L9" s="314" t="s">
        <v>142</v>
      </c>
    </row>
    <row r="10" spans="2:11" ht="16.5" thickBot="1">
      <c r="B10" s="73" t="s">
        <v>118</v>
      </c>
      <c r="C10" s="70">
        <v>10</v>
      </c>
      <c r="D10" s="17"/>
      <c r="E10" s="17"/>
      <c r="F10" s="17"/>
      <c r="G10" s="17"/>
      <c r="H10" s="17"/>
      <c r="I10" s="17"/>
      <c r="J10" s="17"/>
      <c r="K10" s="17"/>
    </row>
    <row r="11" spans="2:12" ht="15.75" thickBot="1">
      <c r="B11" s="325" t="s">
        <v>218</v>
      </c>
      <c r="C11" s="329">
        <f>SQRT(6*C8/C10)</f>
        <v>22.88</v>
      </c>
      <c r="D11" s="17"/>
      <c r="E11" s="17"/>
      <c r="F11" s="312" t="s">
        <v>105</v>
      </c>
      <c r="G11" s="320">
        <f>(F8-G7)*TAN(RADIANS(90-C2))</f>
        <v>3.44</v>
      </c>
      <c r="H11" s="17"/>
      <c r="I11" s="17"/>
      <c r="J11" s="312" t="s">
        <v>106</v>
      </c>
      <c r="K11" s="317">
        <f>0.5*J5*I13</f>
        <v>541.24</v>
      </c>
      <c r="L11" s="314" t="s">
        <v>142</v>
      </c>
    </row>
    <row r="12" spans="2:11" ht="15.75" thickBot="1">
      <c r="B12" s="325" t="s">
        <v>219</v>
      </c>
      <c r="C12" s="349">
        <f>((12*C7)/C10)^0.333334</f>
        <v>14.11</v>
      </c>
      <c r="D12" s="17"/>
      <c r="E12" s="17"/>
      <c r="F12" s="17"/>
      <c r="G12" s="17"/>
      <c r="H12" s="17"/>
      <c r="I12" s="17"/>
      <c r="J12" s="17"/>
      <c r="K12" s="17"/>
    </row>
    <row r="13" spans="2:11" ht="15.75" thickBot="1">
      <c r="B13" s="350" t="s">
        <v>119</v>
      </c>
      <c r="C13" s="351">
        <f>IF(MAX(C11,C12)&lt;=7.5,7.5,IF(AND(MAX(C11,C12)&gt;7.5,MAX(C11,C12)&lt;=10),10,IF(AND(MAX(C11,C12)&gt;10,MAX(C11,C12)&lt;=12.5),12.5,IF(AND(MAX(C11,C12)&gt;12.5,MAX(C11,C12)&lt;=15),15,IF(AND(MAX(C11,C12)&gt;15,MAX(C11,C12)&lt;=17.5),17.5,IF(AND(MAX(C11,C12)&gt;17.5,MAX(C11,C12)&lt;=20),20,IF(MAX(C11,C12)&lt;=22.5,22.5,25)))))))</f>
        <v>25</v>
      </c>
      <c r="D13" s="17"/>
      <c r="E13" s="17"/>
      <c r="F13" s="17"/>
      <c r="G13" s="17"/>
      <c r="H13" s="18" t="s">
        <v>41</v>
      </c>
      <c r="I13" s="356">
        <v>8.8</v>
      </c>
      <c r="J13" s="17" t="s">
        <v>159</v>
      </c>
      <c r="K13" s="17"/>
    </row>
    <row r="14" spans="2:11" ht="16.5" thickBot="1">
      <c r="B14" s="72" t="s">
        <v>147</v>
      </c>
      <c r="C14" s="71">
        <v>25</v>
      </c>
      <c r="E14" s="17"/>
      <c r="F14" s="17"/>
      <c r="G14" s="17"/>
      <c r="H14" s="18"/>
      <c r="I14" s="20"/>
      <c r="J14" s="17"/>
      <c r="K14" s="17"/>
    </row>
    <row r="15" spans="2:11" ht="12.75">
      <c r="B15" s="21" t="s">
        <v>124</v>
      </c>
      <c r="C15" s="277">
        <f>(C5*100)/(0.289*C14)</f>
        <v>75.29</v>
      </c>
      <c r="D15" s="17"/>
      <c r="E15" s="17"/>
      <c r="F15" s="17"/>
      <c r="G15" s="17"/>
      <c r="H15" s="17"/>
      <c r="I15" s="17"/>
      <c r="J15" s="17"/>
      <c r="K15" s="17"/>
    </row>
    <row r="16" spans="2:11" ht="12.75">
      <c r="B16" s="15" t="s">
        <v>125</v>
      </c>
      <c r="C16" s="278">
        <f>IF(C15&lt;=70,1-0.8*(C15/100)^2,3000/C15^2)</f>
        <v>0.529</v>
      </c>
      <c r="D16" s="17"/>
      <c r="E16" s="17"/>
      <c r="F16" s="17"/>
      <c r="G16" s="17"/>
      <c r="H16" s="17"/>
      <c r="I16" s="17"/>
      <c r="J16" s="17"/>
      <c r="K16" s="17"/>
    </row>
    <row r="17" spans="2:11" ht="12.75">
      <c r="B17" s="15" t="s">
        <v>126</v>
      </c>
      <c r="C17" s="279">
        <f>1-K7/(C16*C4*C10*C14)</f>
        <v>0.911</v>
      </c>
      <c r="D17" s="17"/>
      <c r="F17" s="17"/>
      <c r="G17" s="17"/>
      <c r="H17" s="17"/>
      <c r="I17" s="17"/>
      <c r="J17" s="17"/>
      <c r="K17" s="17"/>
    </row>
    <row r="18" spans="2:11" ht="13.5" thickBot="1">
      <c r="B18" s="53" t="s">
        <v>120</v>
      </c>
      <c r="C18" s="280">
        <f>C6/C17</f>
        <v>1244.84</v>
      </c>
      <c r="D18" s="17"/>
      <c r="E18" s="17"/>
      <c r="F18" s="17"/>
      <c r="G18" s="17"/>
      <c r="H18" s="17"/>
      <c r="I18" s="17"/>
      <c r="J18" s="17"/>
      <c r="K18" s="17"/>
    </row>
    <row r="19" spans="2:11" ht="16.5" thickBot="1">
      <c r="B19" s="309" t="s">
        <v>214</v>
      </c>
      <c r="C19" s="272">
        <f>K7/(C10*C14)+(C18*100)/((C10*C14^2)/6)</f>
        <v>125.65</v>
      </c>
      <c r="D19" s="352" t="s">
        <v>117</v>
      </c>
      <c r="E19" s="310">
        <f>C4</f>
        <v>130</v>
      </c>
      <c r="F19" s="163" t="s">
        <v>165</v>
      </c>
      <c r="G19" s="164">
        <f>E19/C19</f>
        <v>1.03</v>
      </c>
      <c r="H19" s="382" t="str">
        <f>IF(G19&gt;=1,"Условие выполнено!","Условие не выполнено!")</f>
        <v>Условие выполнено!</v>
      </c>
      <c r="I19" s="383"/>
      <c r="J19" s="383"/>
      <c r="K19" s="17"/>
    </row>
    <row r="20" spans="2:11" ht="16.5" thickBot="1">
      <c r="B20" s="270" t="s">
        <v>215</v>
      </c>
      <c r="C20" s="269">
        <f>(5*J3/100*(0.5*I13*100)^3*C5*100)/(384*10^5*(C10*C14^3)/12*COS(RADIANS(C2)))</f>
        <v>0.49</v>
      </c>
      <c r="D20" s="263" t="s">
        <v>117</v>
      </c>
      <c r="E20" s="247">
        <f>C3</f>
        <v>2.72</v>
      </c>
      <c r="F20" s="161" t="s">
        <v>165</v>
      </c>
      <c r="G20" s="162">
        <f>E20/C20</f>
        <v>5.55</v>
      </c>
      <c r="H20" s="384" t="str">
        <f>IF(G20&gt;=1,"Условие выполнено!","Условие не выполнено!")</f>
        <v>Условие выполнено!</v>
      </c>
      <c r="I20" s="385"/>
      <c r="J20" s="385"/>
      <c r="K20" s="17"/>
    </row>
    <row r="21" spans="2:11" ht="16.5" thickBot="1">
      <c r="B21" s="271" t="s">
        <v>224</v>
      </c>
      <c r="C21" s="272">
        <f>(3*K11*COS(RADIANS(C2)))/(2*C10*C14)</f>
        <v>2.63</v>
      </c>
      <c r="D21" s="263" t="s">
        <v>117</v>
      </c>
      <c r="E21" s="247">
        <v>16</v>
      </c>
      <c r="F21" s="161" t="s">
        <v>165</v>
      </c>
      <c r="G21" s="162">
        <f>E21/C21</f>
        <v>6.08</v>
      </c>
      <c r="H21" s="384" t="str">
        <f>IF(G21&gt;=1,"Условие выполнено!","Условие не выполнено!")</f>
        <v>Условие выполнено!</v>
      </c>
      <c r="I21" s="385"/>
      <c r="J21" s="385"/>
      <c r="K21" s="17"/>
    </row>
    <row r="22" ht="12.75">
      <c r="K22" s="17"/>
    </row>
    <row r="24" spans="2:3" ht="12.75">
      <c r="B24" s="322" t="s">
        <v>121</v>
      </c>
      <c r="C24" s="323">
        <f>I8/(70*C10)</f>
        <v>2.43</v>
      </c>
    </row>
  </sheetData>
  <sheetProtection sheet="1" objects="1" scenarios="1"/>
  <mergeCells count="4">
    <mergeCell ref="H21:J21"/>
    <mergeCell ref="H20:J20"/>
    <mergeCell ref="H19:J19"/>
    <mergeCell ref="E2:H2"/>
  </mergeCells>
  <printOptions/>
  <pageMargins left="0.75" right="0.75" top="1" bottom="1" header="0.5" footer="0.5"/>
  <pageSetup horizontalDpi="120" verticalDpi="120" orientation="landscape" paperSize="9" r:id="rId2"/>
  <headerFooter alignWithMargins="0">
    <oddHeader>&amp;C&amp;A</oddHeader>
    <oddFooter>&amp;CСтраница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1" sqref="A1"/>
      <selection activeCell="C9" sqref="C9"/>
      <selection activeCell="A1" sqref="A1"/>
    </sheetView>
  </sheetViews>
  <sheetFormatPr defaultColWidth="9.00390625" defaultRowHeight="12.75"/>
  <cols>
    <col min="1" max="1" width="0.875" style="0" customWidth="1"/>
    <col min="2" max="2" width="5.75390625" style="26" customWidth="1"/>
    <col min="3" max="3" width="5.00390625" style="26" customWidth="1"/>
    <col min="4" max="4" width="7.875" style="26" customWidth="1"/>
    <col min="5" max="6" width="5.625" style="26" customWidth="1"/>
    <col min="7" max="7" width="1.00390625" style="26" customWidth="1"/>
    <col min="8" max="8" width="1.12109375" style="26" customWidth="1"/>
    <col min="9" max="9" width="25.25390625" style="26" customWidth="1"/>
    <col min="10" max="10" width="7.625" style="26" customWidth="1"/>
    <col min="11" max="11" width="0.875" style="26" customWidth="1"/>
    <col min="12" max="12" width="26.375" style="26" customWidth="1"/>
    <col min="13" max="13" width="7.625" style="26" customWidth="1"/>
    <col min="14" max="14" width="2.125" style="26" customWidth="1"/>
    <col min="15" max="15" width="4.625" style="26" customWidth="1"/>
    <col min="16" max="16" width="4.75390625" style="0" customWidth="1"/>
  </cols>
  <sheetData>
    <row r="1" spans="1:16" ht="6.75" customHeight="1" thickBot="1">
      <c r="A1" s="168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69"/>
    </row>
    <row r="2" spans="1:16" ht="16.5" thickBot="1">
      <c r="A2" s="170"/>
      <c r="B2" s="175"/>
      <c r="C2" s="176"/>
      <c r="D2" s="176"/>
      <c r="E2" s="176"/>
      <c r="F2" s="176"/>
      <c r="G2" s="177"/>
      <c r="H2" s="178"/>
      <c r="I2" s="387" t="s">
        <v>178</v>
      </c>
      <c r="J2" s="388"/>
      <c r="K2" s="388"/>
      <c r="L2" s="388"/>
      <c r="M2" s="388"/>
      <c r="N2" s="388"/>
      <c r="O2" s="389"/>
      <c r="P2" s="171"/>
    </row>
    <row r="3" spans="1:16" ht="16.5" thickBot="1">
      <c r="A3" s="170"/>
      <c r="B3" s="179"/>
      <c r="C3" s="180"/>
      <c r="D3" s="181" t="s">
        <v>89</v>
      </c>
      <c r="E3" s="242">
        <v>0.42</v>
      </c>
      <c r="F3" s="245" t="s">
        <v>122</v>
      </c>
      <c r="G3" s="182"/>
      <c r="H3" s="178"/>
      <c r="I3" s="183"/>
      <c r="J3" s="184"/>
      <c r="K3" s="184"/>
      <c r="L3" s="184"/>
      <c r="M3" s="184"/>
      <c r="N3" s="184"/>
      <c r="O3" s="185"/>
      <c r="P3" s="171"/>
    </row>
    <row r="4" spans="1:16" ht="13.5" thickBot="1">
      <c r="A4" s="170"/>
      <c r="B4" s="179"/>
      <c r="C4" s="180"/>
      <c r="D4" s="180"/>
      <c r="E4" s="180"/>
      <c r="F4" s="180"/>
      <c r="G4" s="186"/>
      <c r="H4" s="178"/>
      <c r="I4" s="187" t="s">
        <v>43</v>
      </c>
      <c r="J4" s="188"/>
      <c r="K4" s="189"/>
      <c r="L4" s="190" t="s">
        <v>96</v>
      </c>
      <c r="M4" s="188"/>
      <c r="N4" s="184"/>
      <c r="O4" s="185"/>
      <c r="P4" s="171"/>
    </row>
    <row r="5" spans="1:16" ht="16.5" thickBot="1">
      <c r="A5" s="170"/>
      <c r="B5" s="179"/>
      <c r="C5" s="180"/>
      <c r="D5" s="180"/>
      <c r="E5" s="180"/>
      <c r="F5" s="180"/>
      <c r="G5" s="186"/>
      <c r="H5" s="178"/>
      <c r="I5" s="191" t="s">
        <v>97</v>
      </c>
      <c r="J5" s="192">
        <v>130</v>
      </c>
      <c r="K5" s="193"/>
      <c r="L5" s="392" t="s">
        <v>91</v>
      </c>
      <c r="M5" s="393"/>
      <c r="N5" s="184"/>
      <c r="O5" s="185"/>
      <c r="P5" s="171"/>
    </row>
    <row r="6" spans="1:16" ht="16.5" thickBot="1">
      <c r="A6" s="170"/>
      <c r="B6" s="179"/>
      <c r="C6" s="180"/>
      <c r="D6" s="181" t="s">
        <v>90</v>
      </c>
      <c r="E6" s="242">
        <v>0.096</v>
      </c>
      <c r="F6" s="245" t="s">
        <v>123</v>
      </c>
      <c r="G6" s="182"/>
      <c r="H6" s="178"/>
      <c r="I6" s="194" t="s">
        <v>98</v>
      </c>
      <c r="J6" s="192">
        <v>130</v>
      </c>
      <c r="K6" s="193"/>
      <c r="L6" s="195" t="s">
        <v>176</v>
      </c>
      <c r="M6" s="196">
        <f>(J10*J5)/1000</f>
        <v>9.75</v>
      </c>
      <c r="N6" s="197" t="s">
        <v>104</v>
      </c>
      <c r="O6" s="198">
        <f>E3</f>
        <v>0.42</v>
      </c>
      <c r="P6" s="171"/>
    </row>
    <row r="7" spans="1:16" ht="16.5" thickBot="1">
      <c r="A7" s="170"/>
      <c r="B7" s="179"/>
      <c r="C7" s="180"/>
      <c r="D7" s="180"/>
      <c r="E7" s="180"/>
      <c r="F7" s="180"/>
      <c r="G7" s="186"/>
      <c r="H7" s="178"/>
      <c r="I7" s="183"/>
      <c r="J7" s="185"/>
      <c r="K7" s="193"/>
      <c r="L7" s="199" t="s">
        <v>177</v>
      </c>
      <c r="M7" s="200">
        <f>(J5*J10*MIN(J15,J16))/1000</f>
        <v>2.19</v>
      </c>
      <c r="N7" s="197" t="s">
        <v>104</v>
      </c>
      <c r="O7" s="198">
        <f>E3</f>
        <v>0.42</v>
      </c>
      <c r="P7" s="171"/>
    </row>
    <row r="8" spans="1:16" ht="16.5" thickBot="1">
      <c r="A8" s="170"/>
      <c r="B8" s="244" t="s">
        <v>41</v>
      </c>
      <c r="C8" s="242">
        <v>167</v>
      </c>
      <c r="D8" s="180" t="s">
        <v>141</v>
      </c>
      <c r="E8" s="180"/>
      <c r="F8" s="180"/>
      <c r="G8" s="186"/>
      <c r="H8" s="178"/>
      <c r="I8" s="183"/>
      <c r="J8" s="185"/>
      <c r="K8" s="193"/>
      <c r="L8" s="201"/>
      <c r="M8" s="202"/>
      <c r="N8" s="203"/>
      <c r="O8" s="185"/>
      <c r="P8" s="171"/>
    </row>
    <row r="9" spans="1:16" ht="16.5" thickBot="1">
      <c r="A9" s="170"/>
      <c r="B9" s="179"/>
      <c r="C9" s="180"/>
      <c r="D9" s="180"/>
      <c r="E9" s="180"/>
      <c r="F9" s="180"/>
      <c r="G9" s="186"/>
      <c r="H9" s="178"/>
      <c r="I9" s="390" t="s">
        <v>95</v>
      </c>
      <c r="J9" s="391"/>
      <c r="K9" s="193"/>
      <c r="L9" s="392" t="s">
        <v>94</v>
      </c>
      <c r="M9" s="393"/>
      <c r="N9" s="203"/>
      <c r="O9" s="185"/>
      <c r="P9" s="171"/>
    </row>
    <row r="10" spans="1:16" ht="15.75">
      <c r="A10" s="170"/>
      <c r="B10" s="179"/>
      <c r="C10" s="180"/>
      <c r="D10" s="180"/>
      <c r="E10" s="180"/>
      <c r="F10" s="180"/>
      <c r="G10" s="186"/>
      <c r="H10" s="178"/>
      <c r="I10" s="205" t="s">
        <v>173</v>
      </c>
      <c r="J10" s="206">
        <f>F16*D19</f>
        <v>75</v>
      </c>
      <c r="K10" s="193"/>
      <c r="L10" s="195" t="s">
        <v>176</v>
      </c>
      <c r="M10" s="207">
        <f>IF((J10*(J5-((E6*10^5)/(1-(E3*10^3)/(J15*J5*J10)))/J11))/1000&gt;=0,(J10*(J5-((E6*10^5)/(1-(E3*10^3)/(J15*J5*J10)))/J11))/1000,0)</f>
        <v>5.71</v>
      </c>
      <c r="N10" s="197" t="s">
        <v>104</v>
      </c>
      <c r="O10" s="198">
        <f>E3</f>
        <v>0.42</v>
      </c>
      <c r="P10" s="171"/>
    </row>
    <row r="11" spans="1:16" ht="16.5" thickBot="1">
      <c r="A11" s="170"/>
      <c r="B11" s="179"/>
      <c r="C11" s="180"/>
      <c r="D11" s="180"/>
      <c r="E11" s="180"/>
      <c r="F11" s="180"/>
      <c r="G11" s="186"/>
      <c r="H11" s="178"/>
      <c r="I11" s="208" t="s">
        <v>174</v>
      </c>
      <c r="J11" s="209">
        <f>(F16*D19^2)/6</f>
        <v>187.5</v>
      </c>
      <c r="K11" s="193"/>
      <c r="L11" s="210" t="s">
        <v>177</v>
      </c>
      <c r="M11" s="200">
        <f>IF(((1-((((E6*10^5)/(1-(E3*10^3)/(J15*J5*J10)))*C8*D19)/(140*F16^2*J6*J11))^2)*J16*J5*J10)/1000&gt;=0,((1-((((E6*10^5)/(1-(E3*10^3)/(J15*J5*J10)))*C8*D19)/(140*F16^2*J6*J11))^2)*J16*J5*J10)/1000,0)</f>
        <v>2</v>
      </c>
      <c r="N11" s="197" t="s">
        <v>104</v>
      </c>
      <c r="O11" s="198">
        <f>E3</f>
        <v>0.42</v>
      </c>
      <c r="P11" s="171"/>
    </row>
    <row r="12" spans="1:16" ht="13.5" thickBot="1">
      <c r="A12" s="170"/>
      <c r="B12" s="179"/>
      <c r="C12" s="180"/>
      <c r="D12" s="180"/>
      <c r="E12" s="180"/>
      <c r="F12" s="180"/>
      <c r="G12" s="186"/>
      <c r="H12" s="178"/>
      <c r="I12" s="211" t="s">
        <v>175</v>
      </c>
      <c r="J12" s="212">
        <f>(D19*F16^2)/6</f>
        <v>62.5</v>
      </c>
      <c r="K12" s="193"/>
      <c r="L12" s="184"/>
      <c r="M12" s="184"/>
      <c r="N12" s="184"/>
      <c r="O12" s="185"/>
      <c r="P12" s="171"/>
    </row>
    <row r="13" spans="1:16" ht="15.75" thickBot="1">
      <c r="A13" s="170"/>
      <c r="B13" s="179"/>
      <c r="C13" s="180"/>
      <c r="D13" s="180"/>
      <c r="E13" s="180"/>
      <c r="F13" s="180"/>
      <c r="G13" s="186"/>
      <c r="H13" s="178"/>
      <c r="I13" s="238" t="s">
        <v>179</v>
      </c>
      <c r="J13" s="239">
        <f>C8/(0.289*D19)</f>
        <v>38.52</v>
      </c>
      <c r="K13" s="193"/>
      <c r="L13" s="237" t="s">
        <v>102</v>
      </c>
      <c r="M13" s="227"/>
      <c r="N13" s="227"/>
      <c r="O13" s="228"/>
      <c r="P13" s="171"/>
    </row>
    <row r="14" spans="1:16" ht="15.75" thickBot="1">
      <c r="A14" s="170"/>
      <c r="B14" s="179"/>
      <c r="C14" s="180"/>
      <c r="D14" s="213" t="s">
        <v>171</v>
      </c>
      <c r="E14" s="180"/>
      <c r="F14" s="180"/>
      <c r="G14" s="186"/>
      <c r="H14" s="178"/>
      <c r="I14" s="238" t="s">
        <v>180</v>
      </c>
      <c r="J14" s="239">
        <f>C8/(0.289*F16)</f>
        <v>115.57</v>
      </c>
      <c r="K14" s="193"/>
      <c r="L14" s="229" t="s">
        <v>101</v>
      </c>
      <c r="M14" s="230"/>
      <c r="N14" s="231" t="s">
        <v>103</v>
      </c>
      <c r="O14" s="232">
        <v>120</v>
      </c>
      <c r="P14" s="171"/>
    </row>
    <row r="15" spans="1:16" ht="13.5" thickBot="1">
      <c r="A15" s="170"/>
      <c r="B15" s="179"/>
      <c r="C15" s="180"/>
      <c r="D15" s="180"/>
      <c r="E15" s="180"/>
      <c r="F15" s="180"/>
      <c r="G15" s="186"/>
      <c r="H15" s="178"/>
      <c r="I15" s="205" t="s">
        <v>169</v>
      </c>
      <c r="J15" s="214">
        <f>IF(J13&lt;=70,1-0.8*(J13/100)^2,3000/J13^2)</f>
        <v>0.881</v>
      </c>
      <c r="K15" s="193"/>
      <c r="L15" s="229" t="s">
        <v>99</v>
      </c>
      <c r="M15" s="230"/>
      <c r="N15" s="231" t="s">
        <v>103</v>
      </c>
      <c r="O15" s="232">
        <v>150</v>
      </c>
      <c r="P15" s="171"/>
    </row>
    <row r="16" spans="1:16" ht="16.5" thickBot="1">
      <c r="A16" s="170"/>
      <c r="B16" s="179"/>
      <c r="C16" s="213" t="s">
        <v>172</v>
      </c>
      <c r="D16" s="213" t="s">
        <v>172</v>
      </c>
      <c r="E16" s="243" t="s">
        <v>88</v>
      </c>
      <c r="F16" s="242">
        <v>5</v>
      </c>
      <c r="G16" s="215"/>
      <c r="H16" s="178"/>
      <c r="I16" s="216" t="s">
        <v>170</v>
      </c>
      <c r="J16" s="217">
        <f>IF(J14&lt;=70,1-0.8*(J14/100)^2,3000/J14^2)</f>
        <v>0.225</v>
      </c>
      <c r="K16" s="218"/>
      <c r="L16" s="233" t="s">
        <v>100</v>
      </c>
      <c r="M16" s="234"/>
      <c r="N16" s="235" t="s">
        <v>103</v>
      </c>
      <c r="O16" s="236">
        <v>200</v>
      </c>
      <c r="P16" s="171"/>
    </row>
    <row r="17" spans="1:16" ht="13.5" thickBot="1">
      <c r="A17" s="170"/>
      <c r="B17" s="179"/>
      <c r="C17" s="180"/>
      <c r="D17" s="180"/>
      <c r="E17" s="180"/>
      <c r="F17" s="180"/>
      <c r="G17" s="186"/>
      <c r="H17" s="178"/>
      <c r="I17" s="183"/>
      <c r="J17" s="184"/>
      <c r="K17" s="184"/>
      <c r="L17" s="184"/>
      <c r="M17" s="184"/>
      <c r="N17" s="184"/>
      <c r="O17" s="185"/>
      <c r="P17" s="171"/>
    </row>
    <row r="18" spans="1:16" ht="16.5" thickBot="1">
      <c r="A18" s="170"/>
      <c r="B18" s="179"/>
      <c r="C18" s="180"/>
      <c r="D18" s="180"/>
      <c r="E18" s="180"/>
      <c r="F18" s="180"/>
      <c r="G18" s="186"/>
      <c r="H18" s="178"/>
      <c r="I18" s="394" t="str">
        <f>IF(AND(M6&gt;=E3,M7&gt;=E3),"Центральное  обеспечено!","Центральное не обеспечено!")</f>
        <v>Центральное  обеспечено!</v>
      </c>
      <c r="J18" s="395"/>
      <c r="K18" s="396"/>
      <c r="L18" s="240">
        <f>IF(M6&lt;E3,"По прочности",IF(M7&lt;E3,"По устойчивости",IF(AND(M6&lt;E3,M7&lt;E3),"По прочн. И устойч.",0)))</f>
        <v>0</v>
      </c>
      <c r="M18" s="226" t="s">
        <v>165</v>
      </c>
      <c r="N18" s="397">
        <f>MIN(M6,M7)/E3</f>
        <v>5.21428571428571</v>
      </c>
      <c r="O18" s="398"/>
      <c r="P18" s="171"/>
    </row>
    <row r="19" spans="1:16" ht="16.5" thickBot="1">
      <c r="A19" s="170"/>
      <c r="B19" s="179"/>
      <c r="C19" s="243" t="s">
        <v>87</v>
      </c>
      <c r="D19" s="242">
        <v>15</v>
      </c>
      <c r="E19" s="180" t="s">
        <v>141</v>
      </c>
      <c r="F19" s="180"/>
      <c r="G19" s="186"/>
      <c r="H19" s="178"/>
      <c r="I19" s="399">
        <f>IF(OR(J13&gt;120,J14&gt;120),"Гибкость больше    120",0)</f>
        <v>0</v>
      </c>
      <c r="J19" s="400"/>
      <c r="K19" s="400"/>
      <c r="L19" s="400"/>
      <c r="M19" s="400"/>
      <c r="N19" s="400"/>
      <c r="O19" s="401"/>
      <c r="P19" s="171"/>
    </row>
    <row r="20" spans="1:16" ht="16.5" thickBot="1">
      <c r="A20" s="170"/>
      <c r="B20" s="179"/>
      <c r="C20" s="180"/>
      <c r="D20" s="180"/>
      <c r="E20" s="180"/>
      <c r="F20" s="180"/>
      <c r="G20" s="186"/>
      <c r="H20" s="178"/>
      <c r="I20" s="394" t="str">
        <f>IF(AND(M10&gt;=E3,M11&gt;=E3),"Внецентр. обеспечено !","Внецентр. не обеспечено !")</f>
        <v>Внецентр. обеспечено !</v>
      </c>
      <c r="J20" s="395"/>
      <c r="K20" s="396"/>
      <c r="L20" s="241">
        <f>IF(M10&lt;E3,"По прочности",IF(M11&lt;E3,"По устойчивости",IF(AND(M10&lt;E3,M11&lt;E3),"По прочн. и устойч.",0)))</f>
        <v>0</v>
      </c>
      <c r="M20" s="226" t="s">
        <v>165</v>
      </c>
      <c r="N20" s="397">
        <f>MIN(M10,M11)/E3</f>
        <v>4.76190476190476</v>
      </c>
      <c r="O20" s="398"/>
      <c r="P20" s="171"/>
    </row>
    <row r="21" spans="1:16" ht="2.25" customHeight="1" thickBot="1">
      <c r="A21" s="170"/>
      <c r="B21" s="219"/>
      <c r="C21" s="220"/>
      <c r="D21" s="220"/>
      <c r="E21" s="220"/>
      <c r="F21" s="220"/>
      <c r="G21" s="221"/>
      <c r="H21" s="178"/>
      <c r="I21" s="222"/>
      <c r="J21" s="223"/>
      <c r="K21" s="223"/>
      <c r="L21" s="223"/>
      <c r="M21" s="223"/>
      <c r="N21" s="223"/>
      <c r="O21" s="224"/>
      <c r="P21" s="171"/>
    </row>
    <row r="22" spans="1:16" ht="13.5" thickBot="1">
      <c r="A22" s="172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173"/>
    </row>
  </sheetData>
  <sheetProtection sheet="1" objects="1" scenarios="1"/>
  <mergeCells count="9">
    <mergeCell ref="I2:O2"/>
    <mergeCell ref="I9:J9"/>
    <mergeCell ref="L5:M5"/>
    <mergeCell ref="L9:M9"/>
    <mergeCell ref="I18:K18"/>
    <mergeCell ref="I20:K20"/>
    <mergeCell ref="N18:O18"/>
    <mergeCell ref="N20:O20"/>
    <mergeCell ref="I19:O19"/>
  </mergeCells>
  <printOptions/>
  <pageMargins left="0.75" right="0.75" top="1" bottom="1" header="0.5" footer="0.5"/>
  <pageSetup horizontalDpi="120" verticalDpi="120" orientation="portrait" paperSize="9" r:id="rId2"/>
  <headerFooter alignWithMargins="0">
    <oddHeader>&amp;C&amp;A</oddHeader>
    <oddFooter>&amp;CСтраница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4"/>
  <sheetViews>
    <sheetView zoomScalePageLayoutView="0" workbookViewId="0" topLeftCell="A1">
      <selection activeCell="A1" sqref="A1"/>
      <selection activeCell="I6" sqref="I6"/>
      <selection activeCell="A1" sqref="A1"/>
    </sheetView>
  </sheetViews>
  <sheetFormatPr defaultColWidth="9.00390625" defaultRowHeight="12.75"/>
  <cols>
    <col min="1" max="1" width="1.75390625" style="0" customWidth="1"/>
    <col min="2" max="2" width="18.625" style="0" customWidth="1"/>
    <col min="3" max="3" width="10.00390625" style="0" customWidth="1"/>
    <col min="5" max="5" width="19.125" style="0" customWidth="1"/>
    <col min="6" max="6" width="8.875" style="0" customWidth="1"/>
    <col min="7" max="7" width="9.25390625" style="0" customWidth="1"/>
    <col min="8" max="8" width="19.75390625" style="0" customWidth="1"/>
    <col min="9" max="9" width="9.75390625" style="0" customWidth="1"/>
  </cols>
  <sheetData>
    <row r="1" spans="4:8" s="96" customFormat="1" ht="12.75" customHeight="1">
      <c r="D1" s="370" t="s">
        <v>0</v>
      </c>
      <c r="E1" s="370"/>
      <c r="F1" s="370"/>
      <c r="G1" s="370"/>
      <c r="H1" s="97"/>
    </row>
    <row r="2" spans="2:10" s="96" customFormat="1" ht="12.75" customHeight="1" thickBot="1">
      <c r="B2" s="98"/>
      <c r="C2" s="98"/>
      <c r="H2" s="99"/>
      <c r="I2" s="100"/>
      <c r="J2" s="98"/>
    </row>
    <row r="3" spans="2:10" s="96" customFormat="1" ht="13.5" thickBot="1">
      <c r="B3" s="126" t="s">
        <v>1</v>
      </c>
      <c r="C3" s="127"/>
      <c r="D3" s="98"/>
      <c r="E3" s="126" t="s">
        <v>2</v>
      </c>
      <c r="F3" s="127"/>
      <c r="G3" s="98"/>
      <c r="H3" s="126" t="s">
        <v>3</v>
      </c>
      <c r="I3" s="127"/>
      <c r="J3" s="98"/>
    </row>
    <row r="4" spans="2:10" s="96" customFormat="1" ht="13.5" thickBot="1">
      <c r="B4" s="110" t="s">
        <v>4</v>
      </c>
      <c r="C4" s="114">
        <v>0.6</v>
      </c>
      <c r="D4" s="98"/>
      <c r="E4" s="111" t="s">
        <v>19</v>
      </c>
      <c r="F4" s="115">
        <v>4</v>
      </c>
      <c r="G4" s="98"/>
      <c r="H4" s="110" t="s">
        <v>6</v>
      </c>
      <c r="I4" s="130">
        <v>4</v>
      </c>
      <c r="J4" s="98"/>
    </row>
    <row r="5" spans="2:10" s="96" customFormat="1" ht="13.5" thickBot="1">
      <c r="B5" s="111" t="s">
        <v>7</v>
      </c>
      <c r="C5" s="115">
        <v>4</v>
      </c>
      <c r="D5" s="101"/>
      <c r="E5" s="128" t="s">
        <v>5</v>
      </c>
      <c r="F5" s="129">
        <v>2.9</v>
      </c>
      <c r="G5" s="98"/>
      <c r="H5" s="112" t="s">
        <v>5</v>
      </c>
      <c r="I5" s="131">
        <v>2.9</v>
      </c>
      <c r="J5" s="98"/>
    </row>
    <row r="6" spans="2:10" s="96" customFormat="1" ht="12.75">
      <c r="B6" s="112" t="s">
        <v>11</v>
      </c>
      <c r="C6" s="115">
        <v>400</v>
      </c>
      <c r="D6" s="98"/>
      <c r="E6" s="112" t="s">
        <v>12</v>
      </c>
      <c r="F6" s="115">
        <v>420</v>
      </c>
      <c r="G6" s="98"/>
      <c r="H6" s="128" t="s">
        <v>8</v>
      </c>
      <c r="I6" s="129">
        <f>F10</f>
        <v>1.1</v>
      </c>
      <c r="J6" s="98"/>
    </row>
    <row r="7" spans="2:10" s="96" customFormat="1" ht="13.5" thickBot="1">
      <c r="B7" s="111" t="s">
        <v>9</v>
      </c>
      <c r="C7" s="115">
        <v>400</v>
      </c>
      <c r="D7" s="98"/>
      <c r="E7" s="111" t="s">
        <v>10</v>
      </c>
      <c r="F7" s="115">
        <v>420.68</v>
      </c>
      <c r="G7" s="98"/>
      <c r="H7" s="111" t="s">
        <v>13</v>
      </c>
      <c r="I7" s="369">
        <f>C9</f>
        <v>130</v>
      </c>
      <c r="J7" s="98"/>
    </row>
    <row r="8" spans="2:10" s="96" customFormat="1" ht="13.5" thickBot="1">
      <c r="B8" s="113" t="s">
        <v>14</v>
      </c>
      <c r="C8" s="138">
        <f>C5*100/D8</f>
        <v>2</v>
      </c>
      <c r="D8" s="116">
        <v>200</v>
      </c>
      <c r="E8" s="113" t="s">
        <v>15</v>
      </c>
      <c r="F8" s="138">
        <f>F4*100/G8</f>
        <v>2</v>
      </c>
      <c r="G8" s="116">
        <v>200</v>
      </c>
      <c r="H8" s="113" t="s">
        <v>16</v>
      </c>
      <c r="I8" s="138">
        <f>I4*100/D8</f>
        <v>2</v>
      </c>
      <c r="J8" s="98"/>
    </row>
    <row r="9" spans="2:10" s="96" customFormat="1" ht="13.5" thickBot="1">
      <c r="B9" s="111" t="s">
        <v>17</v>
      </c>
      <c r="C9" s="369">
        <v>130</v>
      </c>
      <c r="D9" s="98"/>
      <c r="E9" s="111" t="s">
        <v>18</v>
      </c>
      <c r="F9" s="369">
        <v>130</v>
      </c>
      <c r="G9" s="98"/>
      <c r="H9" s="134" t="s">
        <v>20</v>
      </c>
      <c r="I9" s="135">
        <f>8*I12/I4^2</f>
        <v>407.75</v>
      </c>
      <c r="J9" s="98"/>
    </row>
    <row r="10" spans="2:10" s="96" customFormat="1" ht="12.75">
      <c r="B10" s="117" t="s">
        <v>21</v>
      </c>
      <c r="C10" s="118">
        <f>C4*C7</f>
        <v>240</v>
      </c>
      <c r="D10" s="98"/>
      <c r="E10" s="132" t="s">
        <v>8</v>
      </c>
      <c r="F10" s="133">
        <f>F4-F5</f>
        <v>1.1</v>
      </c>
      <c r="G10" s="98"/>
      <c r="H10" s="119" t="s">
        <v>22</v>
      </c>
      <c r="I10" s="251">
        <f>8*I11/I4^2</f>
        <v>407.48</v>
      </c>
      <c r="J10" s="98"/>
    </row>
    <row r="11" spans="2:10" s="96" customFormat="1" ht="12.75">
      <c r="B11" s="119" t="s">
        <v>23</v>
      </c>
      <c r="C11" s="120">
        <f>C6*C4</f>
        <v>240</v>
      </c>
      <c r="D11" s="98"/>
      <c r="E11" s="119" t="s">
        <v>24</v>
      </c>
      <c r="F11" s="118">
        <f>F6*F5*F10/F4</f>
        <v>334.95</v>
      </c>
      <c r="G11" s="98"/>
      <c r="H11" s="136" t="s">
        <v>25</v>
      </c>
      <c r="I11" s="137">
        <f>(C11*C5^2/8)+F11</f>
        <v>814.95</v>
      </c>
      <c r="J11" s="98"/>
    </row>
    <row r="12" spans="2:10" s="96" customFormat="1" ht="12.75">
      <c r="B12" s="119" t="s">
        <v>26</v>
      </c>
      <c r="C12" s="118">
        <f>C10*C5^2/8</f>
        <v>480</v>
      </c>
      <c r="D12" s="98"/>
      <c r="E12" s="119" t="s">
        <v>27</v>
      </c>
      <c r="F12" s="118">
        <f>F7*F5*F10/F4</f>
        <v>335.49</v>
      </c>
      <c r="G12" s="98"/>
      <c r="H12" s="119" t="s">
        <v>28</v>
      </c>
      <c r="I12" s="118">
        <f>SUM(C12,F12)</f>
        <v>815.49</v>
      </c>
      <c r="J12" s="98"/>
    </row>
    <row r="13" spans="2:10" s="96" customFormat="1" ht="12.75">
      <c r="B13" s="121" t="s">
        <v>114</v>
      </c>
      <c r="C13" s="122">
        <f>C12*100/C9</f>
        <v>369.23</v>
      </c>
      <c r="D13" s="98"/>
      <c r="E13" s="121" t="s">
        <v>115</v>
      </c>
      <c r="F13" s="122">
        <f>F12*100/F9</f>
        <v>258.07</v>
      </c>
      <c r="G13" s="98"/>
      <c r="H13" s="121" t="s">
        <v>116</v>
      </c>
      <c r="I13" s="122">
        <f>I12*100/I7</f>
        <v>627.3</v>
      </c>
      <c r="J13" s="98"/>
    </row>
    <row r="14" spans="2:10" s="96" customFormat="1" ht="12.75">
      <c r="B14" s="119" t="s">
        <v>29</v>
      </c>
      <c r="C14" s="123">
        <f>(5*(C11/100)*((C5*100)^4))/(384*10^5*C8)</f>
        <v>4000</v>
      </c>
      <c r="D14" s="98"/>
      <c r="E14" s="119" t="s">
        <v>30</v>
      </c>
      <c r="F14" s="118">
        <f>(F6*(F5*100)^2*(F10*100)^2)/(3*10^5*F8*F4*100)</f>
        <v>1780.82</v>
      </c>
      <c r="G14" s="98"/>
      <c r="H14" s="119" t="s">
        <v>31</v>
      </c>
      <c r="I14" s="118">
        <f>(5*(I10/100)*(I4*100)^4)/(384*10^5*I8)</f>
        <v>6791.33</v>
      </c>
      <c r="J14" s="98"/>
    </row>
    <row r="15" spans="2:10" s="96" customFormat="1" ht="13.5" thickBot="1">
      <c r="B15" s="362" t="s">
        <v>232</v>
      </c>
      <c r="C15" s="363">
        <f>(5*(C11/100)*((C5*100)^4))/(384*2.1*10^6*C8)</f>
        <v>190.48</v>
      </c>
      <c r="D15" s="102"/>
      <c r="E15" s="362" t="s">
        <v>233</v>
      </c>
      <c r="F15" s="364">
        <f>(F6*(F5*100)^2*(F10*100)^2)/(3*2.1*10^6*F8*F4*100)</f>
        <v>84.8</v>
      </c>
      <c r="G15" s="98"/>
      <c r="H15" s="362" t="s">
        <v>234</v>
      </c>
      <c r="I15" s="364">
        <f>(5*(I10/100)*(I4*100)^4)/(384*2.1*10^6*I8)</f>
        <v>323.4</v>
      </c>
      <c r="J15" s="98"/>
    </row>
    <row r="16" spans="2:10" s="96" customFormat="1" ht="13.5" thickBot="1">
      <c r="B16" s="365" t="s">
        <v>235</v>
      </c>
      <c r="C16" s="366">
        <v>10</v>
      </c>
      <c r="D16" s="98"/>
      <c r="E16" s="365" t="s">
        <v>236</v>
      </c>
      <c r="F16" s="366">
        <v>10</v>
      </c>
      <c r="G16" s="98"/>
      <c r="H16" s="365" t="s">
        <v>235</v>
      </c>
      <c r="I16" s="366">
        <v>10</v>
      </c>
      <c r="J16" s="98"/>
    </row>
    <row r="17" spans="2:10" s="96" customFormat="1" ht="13.5" thickBot="1">
      <c r="B17" s="124" t="s">
        <v>32</v>
      </c>
      <c r="C17" s="125">
        <f>SQRT(6*C13/C16)</f>
        <v>14.88</v>
      </c>
      <c r="D17" s="98"/>
      <c r="E17" s="124" t="s">
        <v>33</v>
      </c>
      <c r="F17" s="125">
        <f>SQRT(6*F13/F16)</f>
        <v>12.44</v>
      </c>
      <c r="G17" s="98"/>
      <c r="H17" s="124" t="s">
        <v>32</v>
      </c>
      <c r="I17" s="125">
        <f>SQRT(6*I13/I16)</f>
        <v>19.4</v>
      </c>
      <c r="J17" s="98"/>
    </row>
    <row r="18" spans="2:10" s="96" customFormat="1" ht="13.5" thickBot="1">
      <c r="B18" s="124" t="s">
        <v>34</v>
      </c>
      <c r="C18" s="125">
        <f>(12*C14/C16)^0.3333</f>
        <v>16.86</v>
      </c>
      <c r="D18" s="98"/>
      <c r="E18" s="124" t="s">
        <v>35</v>
      </c>
      <c r="F18" s="125">
        <f>(12*F14/F16)^0.3333</f>
        <v>12.88</v>
      </c>
      <c r="G18" s="98"/>
      <c r="H18" s="124" t="s">
        <v>36</v>
      </c>
      <c r="I18" s="125">
        <f>(12*I14/I16)^0.3333</f>
        <v>20.12</v>
      </c>
      <c r="J18" s="98"/>
    </row>
    <row r="19" spans="2:10" s="96" customFormat="1" ht="12.75" customHeight="1" thickBot="1">
      <c r="B19" s="367" t="s">
        <v>237</v>
      </c>
      <c r="C19" s="368">
        <f>3*0.5*C20*C23/(2*C16*MAX(C17,C18))</f>
        <v>4.27</v>
      </c>
      <c r="D19" s="103"/>
      <c r="E19" s="98"/>
      <c r="F19" s="98"/>
      <c r="G19" s="98"/>
      <c r="H19" s="98"/>
      <c r="I19" s="98"/>
      <c r="J19" s="98"/>
    </row>
    <row r="20" spans="2:10" s="96" customFormat="1" ht="12.75">
      <c r="B20" s="104" t="s">
        <v>37</v>
      </c>
      <c r="C20" s="105">
        <f>C10</f>
        <v>240</v>
      </c>
      <c r="D20" s="98"/>
      <c r="E20" s="104" t="s">
        <v>38</v>
      </c>
      <c r="F20" s="105">
        <f>F7</f>
        <v>420.68</v>
      </c>
      <c r="G20" s="98"/>
      <c r="H20" s="104" t="s">
        <v>38</v>
      </c>
      <c r="I20" s="105">
        <f>F7</f>
        <v>420.68</v>
      </c>
      <c r="J20" s="98"/>
    </row>
    <row r="21" spans="2:10" s="96" customFormat="1" ht="12.75">
      <c r="B21" s="98"/>
      <c r="C21" s="98"/>
      <c r="D21" s="98"/>
      <c r="E21" s="104" t="s">
        <v>39</v>
      </c>
      <c r="F21" s="105">
        <f>F10</f>
        <v>1.1</v>
      </c>
      <c r="G21" s="98"/>
      <c r="H21" s="98"/>
      <c r="I21" s="98"/>
      <c r="J21" s="98"/>
    </row>
    <row r="22" spans="2:10" s="96" customFormat="1" ht="12.75">
      <c r="B22" s="98"/>
      <c r="C22" s="98"/>
      <c r="D22" s="98"/>
      <c r="E22" s="106" t="s">
        <v>40</v>
      </c>
      <c r="F22" s="107"/>
      <c r="G22" s="98"/>
      <c r="H22" s="104" t="s">
        <v>37</v>
      </c>
      <c r="I22" s="105">
        <f>C10</f>
        <v>240</v>
      </c>
      <c r="J22" s="98"/>
    </row>
    <row r="23" spans="2:10" s="96" customFormat="1" ht="12.75">
      <c r="B23" s="104" t="s">
        <v>41</v>
      </c>
      <c r="C23" s="108">
        <f>C5</f>
        <v>4</v>
      </c>
      <c r="D23" s="98"/>
      <c r="E23" s="104" t="s">
        <v>41</v>
      </c>
      <c r="F23" s="108">
        <f>F4</f>
        <v>4</v>
      </c>
      <c r="G23" s="98"/>
      <c r="H23" s="104" t="s">
        <v>41</v>
      </c>
      <c r="I23" s="108">
        <f>I4</f>
        <v>4</v>
      </c>
      <c r="J23" s="98"/>
    </row>
    <row r="24" spans="2:8" s="96" customFormat="1" ht="12.75">
      <c r="B24" s="109"/>
      <c r="E24" s="109"/>
      <c r="H24" s="109"/>
    </row>
    <row r="25" s="96" customFormat="1" ht="12.75"/>
    <row r="26" s="96" customFormat="1" ht="12.75"/>
    <row r="27" s="94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</sheetData>
  <sheetProtection sheet="1" objects="1" scenarios="1"/>
  <dataValidations count="1">
    <dataValidation allowBlank="1" showInputMessage="1" showErrorMessage="1" prompt="не более 16кг/см2" sqref="C19"/>
  </dataValidations>
  <printOptions/>
  <pageMargins left="0.75" right="0.75" top="0.81" bottom="1" header="0.5" footer="0.5"/>
  <pageSetup horizontalDpi="120" verticalDpi="120" orientation="landscape" paperSize="9" r:id="rId4"/>
  <headerFooter alignWithMargins="0">
    <oddHeader>&amp;C&amp;A</oddHeader>
    <oddFooter>&amp;CСтраница 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1" sqref="A1"/>
      <selection activeCell="K9" sqref="K9"/>
      <selection activeCell="A1" sqref="A1"/>
    </sheetView>
  </sheetViews>
  <sheetFormatPr defaultColWidth="9.00390625" defaultRowHeight="12.75"/>
  <cols>
    <col min="1" max="1" width="9.125" style="26" customWidth="1"/>
    <col min="2" max="3" width="4.00390625" style="26" customWidth="1"/>
    <col min="4" max="4" width="3.625" style="26" customWidth="1"/>
    <col min="5" max="5" width="9.00390625" style="26" customWidth="1"/>
    <col min="6" max="6" width="3.625" style="26" customWidth="1"/>
    <col min="7" max="8" width="4.00390625" style="26" customWidth="1"/>
    <col min="9" max="9" width="0.875" style="26" customWidth="1"/>
    <col min="10" max="12" width="9.125" style="26" customWidth="1"/>
    <col min="13" max="13" width="24.375" style="26" customWidth="1"/>
    <col min="14" max="14" width="7.125" style="26" customWidth="1"/>
    <col min="15" max="15" width="9.125" style="26" customWidth="1"/>
  </cols>
  <sheetData>
    <row r="2" spans="4:14" ht="12.75">
      <c r="D2" s="74"/>
      <c r="F2" s="252"/>
      <c r="G2" s="252"/>
      <c r="H2" s="252"/>
      <c r="I2" s="252"/>
      <c r="J2" s="402" t="s">
        <v>162</v>
      </c>
      <c r="K2" s="402"/>
      <c r="L2" s="402"/>
      <c r="M2" s="402"/>
      <c r="N2" s="402"/>
    </row>
    <row r="3" spans="1:8" ht="12.75">
      <c r="A3" s="403" t="s">
        <v>160</v>
      </c>
      <c r="B3" s="403"/>
      <c r="C3" s="403"/>
      <c r="F3" s="404" t="s">
        <v>161</v>
      </c>
      <c r="G3" s="404"/>
      <c r="H3" s="404"/>
    </row>
    <row r="4" ht="13.5" thickBot="1"/>
    <row r="5" spans="13:14" ht="12.75">
      <c r="M5" s="78" t="s">
        <v>149</v>
      </c>
      <c r="N5" s="87">
        <v>2</v>
      </c>
    </row>
    <row r="6" spans="13:14" ht="12.75">
      <c r="M6" s="79" t="s">
        <v>150</v>
      </c>
      <c r="N6" s="88">
        <v>5</v>
      </c>
    </row>
    <row r="7" spans="8:14" ht="12.75">
      <c r="H7" s="30">
        <v>5</v>
      </c>
      <c r="J7" s="26" t="s">
        <v>141</v>
      </c>
      <c r="K7" s="86"/>
      <c r="M7" s="79" t="s">
        <v>151</v>
      </c>
      <c r="N7" s="88">
        <v>0.5</v>
      </c>
    </row>
    <row r="9" spans="13:14" ht="12.75">
      <c r="M9" s="80" t="s">
        <v>152</v>
      </c>
      <c r="N9" s="81">
        <f>IF(N5=1,N6/C13,N6/H12)</f>
        <v>5</v>
      </c>
    </row>
    <row r="10" spans="5:14" ht="12.75">
      <c r="E10" s="30">
        <v>4.08</v>
      </c>
      <c r="F10" s="26" t="s">
        <v>159</v>
      </c>
      <c r="I10" s="26" t="s">
        <v>148</v>
      </c>
      <c r="M10" s="80" t="s">
        <v>153</v>
      </c>
      <c r="N10" s="81">
        <f>E10*100/(0.289*B21)</f>
        <v>54</v>
      </c>
    </row>
    <row r="11" spans="13:14" ht="12.75">
      <c r="M11" s="77"/>
      <c r="N11" s="76"/>
    </row>
    <row r="12" spans="8:14" ht="12.75">
      <c r="H12" s="30">
        <v>1</v>
      </c>
      <c r="J12" s="26" t="s">
        <v>159</v>
      </c>
      <c r="M12" s="80" t="s">
        <v>154</v>
      </c>
      <c r="N12" s="82">
        <f>(H18*G21^3)/12-(H18*F16^3)/12</f>
        <v>4062.5</v>
      </c>
    </row>
    <row r="13" spans="3:14" ht="12.75">
      <c r="C13" s="30">
        <v>0.5</v>
      </c>
      <c r="D13" s="75" t="s">
        <v>159</v>
      </c>
      <c r="M13" s="80" t="s">
        <v>155</v>
      </c>
      <c r="N13" s="83">
        <f>SQRT(N12/(2*H7*H18))</f>
        <v>5.2</v>
      </c>
    </row>
    <row r="14" spans="13:14" ht="12.75">
      <c r="M14" s="80" t="s">
        <v>156</v>
      </c>
      <c r="N14" s="81">
        <f>E10*100/N13</f>
        <v>78</v>
      </c>
    </row>
    <row r="15" spans="13:14" ht="12.75">
      <c r="M15" s="80" t="s">
        <v>157</v>
      </c>
      <c r="N15" s="81">
        <f>H12*100/(0.289*H7)</f>
        <v>69</v>
      </c>
    </row>
    <row r="16" spans="2:14" ht="12.75">
      <c r="B16" s="91" t="s">
        <v>93</v>
      </c>
      <c r="F16" s="30">
        <v>5</v>
      </c>
      <c r="H16" s="26" t="s">
        <v>141</v>
      </c>
      <c r="M16" s="80" t="s">
        <v>158</v>
      </c>
      <c r="N16" s="83">
        <f>SQRT(1+1/(10*N7^2)*(2*H18*G21)/(E10^2*N9))</f>
        <v>1.78</v>
      </c>
    </row>
    <row r="17" ht="13.5" thickBot="1">
      <c r="G17" s="93" t="s">
        <v>93</v>
      </c>
    </row>
    <row r="18" spans="3:14" ht="13.5" thickBot="1">
      <c r="C18" s="30">
        <v>22</v>
      </c>
      <c r="D18" s="89" t="s">
        <v>141</v>
      </c>
      <c r="H18" s="30">
        <v>15</v>
      </c>
      <c r="J18" s="26" t="s">
        <v>141</v>
      </c>
      <c r="M18" s="85" t="s">
        <v>164</v>
      </c>
      <c r="N18" s="84">
        <f>IF(N5=1,E10*100/(0.289*C18),E10*100/(0.289*H18))</f>
        <v>94</v>
      </c>
    </row>
    <row r="19" spans="5:14" ht="13.5" thickBot="1">
      <c r="E19" s="90" t="s">
        <v>92</v>
      </c>
      <c r="J19" s="92" t="s">
        <v>92</v>
      </c>
      <c r="M19" s="85" t="s">
        <v>163</v>
      </c>
      <c r="N19" s="84">
        <f>IF(N5=1,N10*SQRT(1+1/(10*N7^2)*(C18*B21)/(E10^2*N9)),SQRT(N16^2*N14^2+N15^2))</f>
        <v>155</v>
      </c>
    </row>
    <row r="21" spans="2:8" ht="12.75">
      <c r="B21" s="30">
        <v>26</v>
      </c>
      <c r="C21" s="26" t="s">
        <v>141</v>
      </c>
      <c r="G21" s="30">
        <v>15</v>
      </c>
      <c r="H21" s="26" t="s">
        <v>141</v>
      </c>
    </row>
  </sheetData>
  <sheetProtection sheet="1" objects="1" scenarios="1"/>
  <mergeCells count="3">
    <mergeCell ref="J2:N2"/>
    <mergeCell ref="A3:C3"/>
    <mergeCell ref="F3:H3"/>
  </mergeCells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J18" sqref="J18"/>
      <selection activeCell="M5" sqref="M5"/>
      <selection activeCell="A1" sqref="A1"/>
    </sheetView>
  </sheetViews>
  <sheetFormatPr defaultColWidth="9.00390625" defaultRowHeight="12.75"/>
  <cols>
    <col min="1" max="1" width="5.25390625" style="0" customWidth="1"/>
    <col min="2" max="2" width="6.125" style="0" customWidth="1"/>
    <col min="3" max="3" width="8.25390625" style="0" customWidth="1"/>
    <col min="4" max="4" width="4.875" style="0" customWidth="1"/>
    <col min="6" max="6" width="8.125" style="0" customWidth="1"/>
    <col min="8" max="8" width="6.875" style="0" customWidth="1"/>
    <col min="9" max="9" width="0.875" style="0" customWidth="1"/>
    <col min="10" max="10" width="28.875" style="0" customWidth="1"/>
    <col min="11" max="11" width="8.875" style="0" customWidth="1"/>
    <col min="12" max="12" width="2.375" style="0" customWidth="1"/>
    <col min="13" max="13" width="7.00390625" style="0" customWidth="1"/>
  </cols>
  <sheetData>
    <row r="1" s="26" customFormat="1" ht="12.75"/>
    <row r="2" spans="5:10" s="26" customFormat="1" ht="15.75">
      <c r="E2" s="409" t="s">
        <v>143</v>
      </c>
      <c r="F2" s="409"/>
      <c r="G2" s="409"/>
      <c r="H2" s="409"/>
      <c r="I2" s="409"/>
      <c r="J2" s="409"/>
    </row>
    <row r="3" s="26" customFormat="1" ht="12.75"/>
    <row r="4" s="26" customFormat="1" ht="12.75"/>
    <row r="5" s="26" customFormat="1" ht="12.75"/>
    <row r="6" spans="3:6" s="26" customFormat="1" ht="13.5" thickBot="1">
      <c r="C6" s="410" t="str">
        <f>IF(C8&gt;10*B11,"уменьшить размер !",IF(C8&lt;1.5*H13,"увеличить размер !","условие выполнено"))</f>
        <v>условие выполнено</v>
      </c>
      <c r="D6" s="410"/>
      <c r="E6" s="410"/>
      <c r="F6" s="410"/>
    </row>
    <row r="7" spans="10:11" s="26" customFormat="1" ht="12.75">
      <c r="J7" s="27" t="s">
        <v>132</v>
      </c>
      <c r="K7" s="28">
        <v>130</v>
      </c>
    </row>
    <row r="8" spans="2:11" s="26" customFormat="1" ht="12.75">
      <c r="B8" s="29" t="s">
        <v>128</v>
      </c>
      <c r="C8" s="30">
        <v>30</v>
      </c>
      <c r="D8" s="26" t="s">
        <v>141</v>
      </c>
      <c r="E8" s="29" t="s">
        <v>138</v>
      </c>
      <c r="F8" s="31">
        <v>6500</v>
      </c>
      <c r="G8" s="26" t="s">
        <v>142</v>
      </c>
      <c r="J8" s="32" t="s">
        <v>133</v>
      </c>
      <c r="K8" s="33">
        <v>24</v>
      </c>
    </row>
    <row r="9" spans="2:11" s="26" customFormat="1" ht="12.75">
      <c r="B9" s="34">
        <f>1.5*H13</f>
        <v>30</v>
      </c>
      <c r="C9" s="34" t="s">
        <v>144</v>
      </c>
      <c r="D9" s="35">
        <f>10*B11</f>
        <v>55</v>
      </c>
      <c r="J9" s="36"/>
      <c r="K9" s="37"/>
    </row>
    <row r="10" spans="6:11" s="26" customFormat="1" ht="12.75">
      <c r="F10" s="38" t="s">
        <v>130</v>
      </c>
      <c r="G10" s="30">
        <v>21.8</v>
      </c>
      <c r="J10" s="39" t="s">
        <v>134</v>
      </c>
      <c r="K10" s="40">
        <f>K7/(1+(K7/30-1)*(SIN(RADIANS(G10)))^3)</f>
        <v>111.04</v>
      </c>
    </row>
    <row r="11" spans="1:11" s="26" customFormat="1" ht="12.75">
      <c r="A11" s="29" t="s">
        <v>129</v>
      </c>
      <c r="B11" s="30">
        <v>5.5</v>
      </c>
      <c r="C11" s="26" t="s">
        <v>141</v>
      </c>
      <c r="J11" s="41" t="s">
        <v>135</v>
      </c>
      <c r="K11" s="40">
        <f>K8/(1+0.25*C8/(0.5*H13))</f>
        <v>13.71</v>
      </c>
    </row>
    <row r="12" spans="8:11" s="26" customFormat="1" ht="12.75">
      <c r="H12" s="42" t="s">
        <v>107</v>
      </c>
      <c r="J12" s="39" t="s">
        <v>136</v>
      </c>
      <c r="K12" s="40">
        <f>(G16*B11)/COS(RADIANS(G10))</f>
        <v>88.85</v>
      </c>
    </row>
    <row r="13" spans="5:11" s="26" customFormat="1" ht="12.75">
      <c r="E13" s="29" t="s">
        <v>139</v>
      </c>
      <c r="F13" s="43">
        <f>F8*COS(RADIANS(G10))</f>
        <v>6035.15787472594</v>
      </c>
      <c r="G13" s="26" t="s">
        <v>142</v>
      </c>
      <c r="H13" s="30">
        <v>20</v>
      </c>
      <c r="J13" s="44" t="s">
        <v>137</v>
      </c>
      <c r="K13" s="45">
        <f>G16*C8</f>
        <v>450</v>
      </c>
    </row>
    <row r="14" spans="10:11" s="26" customFormat="1" ht="13.5" thickBot="1">
      <c r="J14" s="46"/>
      <c r="K14" s="47"/>
    </row>
    <row r="15" spans="10:13" s="26" customFormat="1" ht="12" customHeight="1" thickBot="1">
      <c r="J15" s="52" t="s">
        <v>131</v>
      </c>
      <c r="K15" s="48">
        <f>K12*K10</f>
        <v>9865.9</v>
      </c>
      <c r="L15" s="49" t="s">
        <v>140</v>
      </c>
      <c r="M15" s="50">
        <f>F8</f>
        <v>6500</v>
      </c>
    </row>
    <row r="16" spans="6:13" s="26" customFormat="1" ht="13.5" thickBot="1">
      <c r="F16" s="29" t="s">
        <v>88</v>
      </c>
      <c r="G16" s="30">
        <v>15</v>
      </c>
      <c r="H16" s="26" t="s">
        <v>141</v>
      </c>
      <c r="J16" s="52" t="s">
        <v>145</v>
      </c>
      <c r="K16" s="51">
        <f>K13*K11</f>
        <v>6169.5</v>
      </c>
      <c r="L16" s="49" t="s">
        <v>140</v>
      </c>
      <c r="M16" s="50">
        <f>F13</f>
        <v>6035.15787472594</v>
      </c>
    </row>
    <row r="17" s="26" customFormat="1" ht="12.75">
      <c r="H17" s="248"/>
    </row>
    <row r="18" s="26" customFormat="1" ht="13.5" thickBot="1"/>
    <row r="19" spans="5:13" s="26" customFormat="1" ht="16.5" thickBot="1">
      <c r="E19" s="411" t="str">
        <f>IF(K15&gt;=M15,"Нес. способность смятию обеспечена","Нес. способность смятию не обеспечена")</f>
        <v>Нес. способность смятию обеспечена</v>
      </c>
      <c r="F19" s="412"/>
      <c r="G19" s="412"/>
      <c r="H19" s="412"/>
      <c r="I19" s="412"/>
      <c r="J19" s="413"/>
      <c r="K19" s="249" t="s">
        <v>165</v>
      </c>
      <c r="L19" s="405">
        <f>K15/M15</f>
        <v>1.52</v>
      </c>
      <c r="M19" s="406"/>
    </row>
    <row r="20" spans="5:13" s="26" customFormat="1" ht="16.5" thickBot="1">
      <c r="E20" s="414" t="str">
        <f>IF(K16&gt;=M16,"Нес.способность скалыванию обеспечена","Нес.способность скалыванию не обеспечена")</f>
        <v>Нес.способность скалыванию обеспечена</v>
      </c>
      <c r="F20" s="415"/>
      <c r="G20" s="415"/>
      <c r="H20" s="415"/>
      <c r="I20" s="415"/>
      <c r="J20" s="416"/>
      <c r="K20" s="250" t="s">
        <v>165</v>
      </c>
      <c r="L20" s="407">
        <f>K16/M16</f>
        <v>1.02</v>
      </c>
      <c r="M20" s="408"/>
    </row>
  </sheetData>
  <sheetProtection sheet="1" objects="1" scenarios="1"/>
  <mergeCells count="6">
    <mergeCell ref="L19:M19"/>
    <mergeCell ref="L20:M20"/>
    <mergeCell ref="E2:J2"/>
    <mergeCell ref="C6:F6"/>
    <mergeCell ref="E19:J19"/>
    <mergeCell ref="E20:J20"/>
  </mergeCells>
  <printOptions/>
  <pageMargins left="0.75" right="0.75" top="1" bottom="1" header="0.5" footer="0.5"/>
  <pageSetup horizontalDpi="120" verticalDpi="120" orientation="portrait" paperSize="9" r:id="rId4"/>
  <headerFooter alignWithMargins="0">
    <oddHeader>&amp;C&amp;A</oddHeader>
    <oddFooter>&amp;CСтраница &amp;P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120" verticalDpi="12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Админ</cp:lastModifiedBy>
  <cp:lastPrinted>2001-06-13T11:52:18Z</cp:lastPrinted>
  <dcterms:created xsi:type="dcterms:W3CDTF">1998-06-19T15:03:20Z</dcterms:created>
  <dcterms:modified xsi:type="dcterms:W3CDTF">2013-02-08T16:39:23Z</dcterms:modified>
  <cp:category/>
  <cp:version/>
  <cp:contentType/>
  <cp:contentStatus/>
</cp:coreProperties>
</file>